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aronH\Downloads\"/>
    </mc:Choice>
  </mc:AlternateContent>
  <xr:revisionPtr revIDLastSave="0" documentId="13_ncr:1_{6B40A8C3-2FED-4907-AD90-89A9757F0524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Employer Template" sheetId="30" r:id="rId1"/>
    <sheet name="Contribution Allocation_Report" sheetId="8" state="hidden" r:id="rId2"/>
    <sheet name="Acerno_Cache_XXXXX" sheetId="24" state="veryHidden" r:id="rId3"/>
    <sheet name="OPEB Amounts_Report" sheetId="9" state="hidden" r:id="rId4"/>
    <sheet name="PY_OPEB Amounts_Report" sheetId="31" state="hidden" r:id="rId5"/>
    <sheet name="Amortization Tables_Report" sheetId="10" state="hidden" r:id="rId6"/>
    <sheet name="Discount Rate Sensitivity" sheetId="3" state="hidden" r:id="rId7"/>
    <sheet name="Trend Rate Sensitivity" sheetId="29" state="hidden" r:id="rId8"/>
    <sheet name="Change in Proportion Layers" sheetId="22" state="hidden" r:id="rId9"/>
    <sheet name="Change in Proportion Calc" sheetId="18" state="hidden" r:id="rId10"/>
    <sheet name="Contribution Allocation_Rep 23" sheetId="28" state="hidden" r:id="rId11"/>
    <sheet name="Membership" sheetId="26" state="hidden" r:id="rId12"/>
    <sheet name="Note 3a" sheetId="12" state="hidden" r:id="rId13"/>
    <sheet name="Notes 3b" sheetId="15" state="hidden" r:id="rId14"/>
    <sheet name="Notes 3c" sheetId="16" state="hidden" r:id="rId15"/>
    <sheet name="Note 3d" sheetId="17" state="hidden" r:id="rId16"/>
    <sheet name="Note 5" sheetId="11" state="hidden" r:id="rId17"/>
    <sheet name="Note 5a" sheetId="13" state="hidden" r:id="rId18"/>
  </sheets>
  <definedNames>
    <definedName name="_xlnm._FilterDatabase" localSheetId="5" hidden="1">'Amortization Tables_Report'!$A$10:$X$324</definedName>
    <definedName name="_xlnm._FilterDatabase" localSheetId="9" hidden="1">'Change in Proportion Calc'!$A$4:$E$311</definedName>
    <definedName name="_xlnm._FilterDatabase" localSheetId="8" hidden="1">'Change in Proportion Layers'!$A$7:$B$322</definedName>
    <definedName name="_xlnm._FilterDatabase" localSheetId="10" hidden="1">'Contribution Allocation_Rep 23'!$A$9:$D$309</definedName>
    <definedName name="_xlnm._FilterDatabase" localSheetId="1" hidden="1">'Contribution Allocation_Report'!$A$9:$D$311</definedName>
    <definedName name="_xlnm._FilterDatabase" localSheetId="3" hidden="1">'OPEB Amounts_Report'!$A$7:$Q$324</definedName>
    <definedName name="_xlnm._FilterDatabase" localSheetId="4" hidden="1">'PY_OPEB Amounts_Report'!$A$7:$Q$324</definedName>
    <definedName name="_xlnm.Print_Area" localSheetId="5">'Amortization Tables_Report'!$A$1:$G$332</definedName>
    <definedName name="_xlnm.Print_Area" localSheetId="9">'Change in Proportion Calc'!$A$1:$Q$320</definedName>
    <definedName name="_xlnm.Print_Area" localSheetId="8">'Change in Proportion Layers'!$A$1:$AH$330</definedName>
    <definedName name="_xlnm.Print_Area" localSheetId="10">'Contribution Allocation_Rep 23'!$A$1:$D$315</definedName>
    <definedName name="_xlnm.Print_Area" localSheetId="1">'Contribution Allocation_Report'!$A$1:$D$317</definedName>
    <definedName name="_xlnm.Print_Area" localSheetId="6">'Discount Rate Sensitivity'!$A$1:$E$318</definedName>
    <definedName name="_xlnm.Print_Area" localSheetId="3">'OPEB Amounts_Report'!$A$1:$Q$331</definedName>
    <definedName name="_xlnm.Print_Area" localSheetId="4">'PY_OPEB Amounts_Report'!$A$1:$Q$330</definedName>
    <definedName name="_xlnm.Print_Area" localSheetId="7">'Trend Rate Sensitivity'!$A$1:$E$318</definedName>
    <definedName name="_xlnm.Print_Titles" localSheetId="5">'Amortization Tables_Report'!$1:$9</definedName>
    <definedName name="_xlnm.Print_Titles" localSheetId="10">'Contribution Allocation_Rep 23'!$1:$8</definedName>
    <definedName name="_xlnm.Print_Titles" localSheetId="1">'Contribution Allocation_Report'!$1:$8</definedName>
    <definedName name="_xlnm.Print_Titles" localSheetId="6">'Discount Rate Sensitivity'!$1:$7</definedName>
    <definedName name="_xlnm.Print_Titles" localSheetId="3">'OPEB Amounts_Report'!$1:$9</definedName>
    <definedName name="_xlnm.Print_Titles" localSheetId="4">'PY_OPEB Amounts_Report'!$1:$9</definedName>
    <definedName name="_xlnm.Print_Titles" localSheetId="7">'Trend Rate Sensitivity'!$1:$7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0" l="1"/>
  <c r="J335" i="31" l="1"/>
  <c r="O331" i="31"/>
  <c r="N331" i="31"/>
  <c r="J331" i="31"/>
  <c r="I331" i="31"/>
  <c r="F331" i="31"/>
  <c r="D331" i="31"/>
  <c r="C331" i="31"/>
  <c r="Q326" i="31"/>
  <c r="Q331" i="31" s="1"/>
  <c r="P326" i="31"/>
  <c r="P331" i="31" s="1"/>
  <c r="M326" i="31"/>
  <c r="M331" i="31" s="1"/>
  <c r="L326" i="31"/>
  <c r="L331" i="31" s="1"/>
  <c r="K326" i="31"/>
  <c r="K331" i="31" s="1"/>
  <c r="H326" i="31"/>
  <c r="H331" i="31" s="1"/>
  <c r="G326" i="31"/>
  <c r="G331" i="31" s="1"/>
  <c r="E326" i="31"/>
  <c r="E331" i="31" s="1"/>
  <c r="E138" i="30" l="1"/>
  <c r="E135" i="30"/>
  <c r="E80" i="30"/>
  <c r="E43" i="30"/>
  <c r="E44" i="30" s="1"/>
  <c r="E11" i="30"/>
  <c r="E142" i="30" s="1"/>
  <c r="E145" i="30" l="1"/>
  <c r="G317" i="18" l="1"/>
  <c r="AB30" i="13"/>
  <c r="AA36" i="13"/>
  <c r="Z36" i="13"/>
  <c r="Y36" i="13"/>
  <c r="AB36" i="13" s="1"/>
  <c r="Z29" i="13"/>
  <c r="AB16" i="13"/>
  <c r="AC31" i="13"/>
  <c r="AA29" i="13"/>
  <c r="AC16" i="13"/>
  <c r="AA16" i="13"/>
  <c r="Z16" i="13"/>
  <c r="Y16" i="13"/>
  <c r="Y15" i="13"/>
  <c r="AA35" i="13"/>
  <c r="Z34" i="13"/>
  <c r="N33" i="13"/>
  <c r="R32" i="13"/>
  <c r="AB31" i="13"/>
  <c r="AA31" i="13"/>
  <c r="Z31" i="13"/>
  <c r="Y31" i="13"/>
  <c r="AA30" i="13"/>
  <c r="Z30" i="13"/>
  <c r="Y30" i="13"/>
  <c r="Y29" i="13"/>
  <c r="Y28" i="13"/>
  <c r="L13" i="13"/>
  <c r="P13" i="13"/>
  <c r="Y13" i="13"/>
  <c r="AA13" i="13" s="1"/>
  <c r="Y12" i="13"/>
  <c r="Z12" i="13" s="1"/>
  <c r="AA12" i="13" s="1"/>
  <c r="Y11" i="13"/>
  <c r="Z11" i="13" s="1"/>
  <c r="P15" i="13"/>
  <c r="AE15" i="13" s="1"/>
  <c r="P31" i="13"/>
  <c r="N9" i="13"/>
  <c r="N27" i="13"/>
  <c r="H29" i="13"/>
  <c r="H27" i="13"/>
  <c r="H33" i="13"/>
  <c r="H34" i="13"/>
  <c r="H35" i="13"/>
  <c r="F12" i="11"/>
  <c r="F18" i="11" s="1"/>
  <c r="AM315" i="22"/>
  <c r="AN315" i="22"/>
  <c r="AO315" i="22"/>
  <c r="AP315" i="22"/>
  <c r="AQ315" i="22"/>
  <c r="AM316" i="22"/>
  <c r="AN316" i="22"/>
  <c r="AO316" i="22"/>
  <c r="AP316" i="22"/>
  <c r="AQ316" i="22"/>
  <c r="AM317" i="22"/>
  <c r="AN317" i="22"/>
  <c r="AO317" i="22"/>
  <c r="AP317" i="22"/>
  <c r="AQ317" i="22"/>
  <c r="AM318" i="22"/>
  <c r="AN318" i="22"/>
  <c r="AO318" i="22"/>
  <c r="AP318" i="22"/>
  <c r="AQ318" i="22"/>
  <c r="AM319" i="22"/>
  <c r="AN319" i="22"/>
  <c r="AO319" i="22"/>
  <c r="AP319" i="22"/>
  <c r="AQ319" i="22"/>
  <c r="AM320" i="22"/>
  <c r="AN320" i="22"/>
  <c r="AO320" i="22"/>
  <c r="AP320" i="22"/>
  <c r="AQ320" i="22"/>
  <c r="AM321" i="22"/>
  <c r="AN321" i="22"/>
  <c r="AO321" i="22"/>
  <c r="AP321" i="22"/>
  <c r="AQ321" i="22"/>
  <c r="AM322" i="22"/>
  <c r="AN322" i="22"/>
  <c r="AO322" i="22"/>
  <c r="AP322" i="22"/>
  <c r="AQ322" i="22"/>
  <c r="AG322" i="22"/>
  <c r="AF322" i="22"/>
  <c r="AG321" i="22"/>
  <c r="AF321" i="22"/>
  <c r="AG320" i="22"/>
  <c r="AF320" i="22"/>
  <c r="AG319" i="22"/>
  <c r="AF319" i="22"/>
  <c r="AG318" i="22"/>
  <c r="AF318" i="22"/>
  <c r="AG317" i="22"/>
  <c r="AF317" i="22"/>
  <c r="AG316" i="22"/>
  <c r="AF316" i="22"/>
  <c r="AG315" i="22"/>
  <c r="AF315" i="22"/>
  <c r="AD316" i="22"/>
  <c r="AD317" i="22"/>
  <c r="AD318" i="22"/>
  <c r="AD319" i="22"/>
  <c r="AD320" i="22"/>
  <c r="AD321" i="22"/>
  <c r="P323" i="9" s="1"/>
  <c r="Q323" i="9" s="1"/>
  <c r="AD322" i="22"/>
  <c r="P324" i="9" s="1"/>
  <c r="Q324" i="9" s="1"/>
  <c r="AD315" i="22"/>
  <c r="AL322" i="22"/>
  <c r="AL321" i="22"/>
  <c r="AL320" i="22"/>
  <c r="AL319" i="22"/>
  <c r="AL318" i="22"/>
  <c r="AL317" i="22"/>
  <c r="AL316" i="22"/>
  <c r="AL315" i="22"/>
  <c r="AL314" i="22"/>
  <c r="AL313" i="22"/>
  <c r="AL312" i="22"/>
  <c r="AL311" i="22"/>
  <c r="AL310" i="22"/>
  <c r="AL309" i="22"/>
  <c r="AL308" i="22"/>
  <c r="AL307" i="22"/>
  <c r="AL306" i="22"/>
  <c r="AL305" i="22"/>
  <c r="AL304" i="22"/>
  <c r="AL303" i="22"/>
  <c r="AL302" i="22"/>
  <c r="AL301" i="22"/>
  <c r="AL300" i="22"/>
  <c r="AL299" i="22"/>
  <c r="AL298" i="22"/>
  <c r="AL297" i="22"/>
  <c r="AL296" i="22"/>
  <c r="AL295" i="22"/>
  <c r="AL294" i="22"/>
  <c r="AL293" i="22"/>
  <c r="AL292" i="22"/>
  <c r="AL291" i="22"/>
  <c r="AL290" i="22"/>
  <c r="AL289" i="22"/>
  <c r="AL288" i="22"/>
  <c r="AL287" i="22"/>
  <c r="AL286" i="22"/>
  <c r="AL285" i="22"/>
  <c r="AL284" i="22"/>
  <c r="AL283" i="22"/>
  <c r="AL282" i="22"/>
  <c r="AL281" i="22"/>
  <c r="AL280" i="22"/>
  <c r="AL279" i="22"/>
  <c r="AL278" i="22"/>
  <c r="AL277" i="22"/>
  <c r="AL276" i="22"/>
  <c r="AL275" i="22"/>
  <c r="AL274" i="22"/>
  <c r="AL273" i="22"/>
  <c r="AL272" i="22"/>
  <c r="AL271" i="22"/>
  <c r="AL270" i="22"/>
  <c r="AL269" i="22"/>
  <c r="AL268" i="22"/>
  <c r="AL267" i="22"/>
  <c r="AL266" i="22"/>
  <c r="AL265" i="22"/>
  <c r="AL264" i="22"/>
  <c r="AL263" i="22"/>
  <c r="AL262" i="22"/>
  <c r="AL261" i="22"/>
  <c r="AL260" i="22"/>
  <c r="AL259" i="22"/>
  <c r="AL258" i="22"/>
  <c r="AL257" i="22"/>
  <c r="AL256" i="22"/>
  <c r="AL255" i="22"/>
  <c r="AL254" i="22"/>
  <c r="AL253" i="22"/>
  <c r="AL252" i="22"/>
  <c r="AL251" i="22"/>
  <c r="AL250" i="22"/>
  <c r="AL249" i="22"/>
  <c r="AL248" i="22"/>
  <c r="AL247" i="22"/>
  <c r="AL246" i="22"/>
  <c r="AL245" i="22"/>
  <c r="AL244" i="22"/>
  <c r="AL243" i="22"/>
  <c r="AL242" i="22"/>
  <c r="AL241" i="22"/>
  <c r="AL240" i="22"/>
  <c r="AL239" i="22"/>
  <c r="AL238" i="22"/>
  <c r="AL237" i="22"/>
  <c r="AL236" i="22"/>
  <c r="AL235" i="22"/>
  <c r="AL234" i="22"/>
  <c r="AL233" i="22"/>
  <c r="AL232" i="22"/>
  <c r="AL231" i="22"/>
  <c r="AL230" i="22"/>
  <c r="AL229" i="22"/>
  <c r="AL228" i="22"/>
  <c r="AL227" i="22"/>
  <c r="AL226" i="22"/>
  <c r="AL225" i="22"/>
  <c r="AL224" i="22"/>
  <c r="AL223" i="22"/>
  <c r="AL222" i="22"/>
  <c r="AL221" i="22"/>
  <c r="AL220" i="22"/>
  <c r="AL219" i="22"/>
  <c r="AL218" i="22"/>
  <c r="AL217" i="22"/>
  <c r="AL216" i="22"/>
  <c r="AL215" i="22"/>
  <c r="AL214" i="22"/>
  <c r="AL213" i="22"/>
  <c r="AL212" i="22"/>
  <c r="AL211" i="22"/>
  <c r="AL210" i="22"/>
  <c r="AL209" i="22"/>
  <c r="AL208" i="22"/>
  <c r="AL207" i="22"/>
  <c r="AL206" i="22"/>
  <c r="AL205" i="22"/>
  <c r="AL204" i="22"/>
  <c r="AL203" i="22"/>
  <c r="AL202" i="22"/>
  <c r="AL201" i="22"/>
  <c r="AL200" i="22"/>
  <c r="AL199" i="22"/>
  <c r="AL198" i="22"/>
  <c r="AL197" i="22"/>
  <c r="AL196" i="22"/>
  <c r="AL195" i="22"/>
  <c r="AL194" i="22"/>
  <c r="AL193" i="22"/>
  <c r="AL192" i="22"/>
  <c r="AL191" i="22"/>
  <c r="AL190" i="22"/>
  <c r="AL189" i="22"/>
  <c r="AL188" i="22"/>
  <c r="AL187" i="22"/>
  <c r="AL186" i="22"/>
  <c r="AL185" i="22"/>
  <c r="AL184" i="22"/>
  <c r="AL183" i="22"/>
  <c r="AL182" i="22"/>
  <c r="AL181" i="22"/>
  <c r="AL180" i="22"/>
  <c r="AL179" i="22"/>
  <c r="AL178" i="22"/>
  <c r="AL177" i="22"/>
  <c r="AL176" i="22"/>
  <c r="AL175" i="22"/>
  <c r="AL174" i="22"/>
  <c r="AL173" i="22"/>
  <c r="AL172" i="22"/>
  <c r="AL171" i="22"/>
  <c r="AL170" i="22"/>
  <c r="AL169" i="22"/>
  <c r="AL168" i="22"/>
  <c r="AL167" i="22"/>
  <c r="AL166" i="22"/>
  <c r="AL165" i="22"/>
  <c r="AL164" i="22"/>
  <c r="AL163" i="22"/>
  <c r="AL162" i="22"/>
  <c r="AL161" i="22"/>
  <c r="AL160" i="22"/>
  <c r="AL159" i="22"/>
  <c r="AL158" i="22"/>
  <c r="AL157" i="22"/>
  <c r="AL156" i="22"/>
  <c r="AL155" i="22"/>
  <c r="AL154" i="22"/>
  <c r="AL153" i="22"/>
  <c r="AL152" i="22"/>
  <c r="AL151" i="22"/>
  <c r="AL150" i="22"/>
  <c r="AL149" i="22"/>
  <c r="AL148" i="22"/>
  <c r="AL147" i="22"/>
  <c r="AL146" i="22"/>
  <c r="AL145" i="22"/>
  <c r="AL144" i="22"/>
  <c r="AL143" i="22"/>
  <c r="AL142" i="22"/>
  <c r="AL141" i="22"/>
  <c r="AL140" i="22"/>
  <c r="AL139" i="22"/>
  <c r="AL138" i="22"/>
  <c r="AL137" i="22"/>
  <c r="AL136" i="22"/>
  <c r="AL135" i="22"/>
  <c r="AL134" i="22"/>
  <c r="AL133" i="22"/>
  <c r="AL132" i="22"/>
  <c r="AL131" i="22"/>
  <c r="AL130" i="22"/>
  <c r="AL129" i="22"/>
  <c r="AL128" i="22"/>
  <c r="AL127" i="22"/>
  <c r="AL126" i="22"/>
  <c r="AL125" i="22"/>
  <c r="AL124" i="22"/>
  <c r="AL123" i="22"/>
  <c r="AL122" i="22"/>
  <c r="AL121" i="22"/>
  <c r="AL120" i="22"/>
  <c r="AL119" i="22"/>
  <c r="AL118" i="22"/>
  <c r="AL117" i="22"/>
  <c r="AL116" i="22"/>
  <c r="AL115" i="22"/>
  <c r="AL114" i="22"/>
  <c r="AL113" i="22"/>
  <c r="AL112" i="22"/>
  <c r="AL111" i="22"/>
  <c r="AL110" i="22"/>
  <c r="AL109" i="22"/>
  <c r="AL108" i="22"/>
  <c r="AL107" i="22"/>
  <c r="AL106" i="22"/>
  <c r="AL105" i="22"/>
  <c r="AL104" i="22"/>
  <c r="AL103" i="22"/>
  <c r="AL102" i="22"/>
  <c r="AL101" i="22"/>
  <c r="AL100" i="22"/>
  <c r="AL99" i="22"/>
  <c r="AL98" i="22"/>
  <c r="AL97" i="22"/>
  <c r="AL96" i="22"/>
  <c r="AL95" i="22"/>
  <c r="AL94" i="22"/>
  <c r="AL93" i="22"/>
  <c r="AL92" i="22"/>
  <c r="AL91" i="22"/>
  <c r="AL90" i="22"/>
  <c r="AL89" i="22"/>
  <c r="AL88" i="22"/>
  <c r="AL87" i="22"/>
  <c r="AL86" i="22"/>
  <c r="AL85" i="22"/>
  <c r="AL84" i="22"/>
  <c r="AL83" i="22"/>
  <c r="AL82" i="22"/>
  <c r="AL81" i="22"/>
  <c r="AL80" i="22"/>
  <c r="AL79" i="22"/>
  <c r="AL78" i="22"/>
  <c r="AL77" i="22"/>
  <c r="AL76" i="22"/>
  <c r="AL75" i="22"/>
  <c r="AL74" i="22"/>
  <c r="AL73" i="22"/>
  <c r="AL72" i="22"/>
  <c r="AL71" i="22"/>
  <c r="AL70" i="22"/>
  <c r="AL69" i="22"/>
  <c r="AL68" i="22"/>
  <c r="AL67" i="22"/>
  <c r="AL66" i="22"/>
  <c r="AL65" i="22"/>
  <c r="AL64" i="22"/>
  <c r="AL63" i="22"/>
  <c r="AL62" i="22"/>
  <c r="AL61" i="22"/>
  <c r="AL60" i="22"/>
  <c r="AL59" i="22"/>
  <c r="AL58" i="22"/>
  <c r="AL57" i="22"/>
  <c r="AL56" i="22"/>
  <c r="AL55" i="22"/>
  <c r="AL54" i="22"/>
  <c r="AL53" i="22"/>
  <c r="AL52" i="22"/>
  <c r="AL51" i="22"/>
  <c r="AL50" i="22"/>
  <c r="AL49" i="22"/>
  <c r="AL48" i="22"/>
  <c r="AL47" i="22"/>
  <c r="AL46" i="22"/>
  <c r="AL45" i="22"/>
  <c r="AL44" i="22"/>
  <c r="AL43" i="22"/>
  <c r="AL42" i="22"/>
  <c r="AL41" i="22"/>
  <c r="AL40" i="22"/>
  <c r="AL39" i="22"/>
  <c r="AL38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2" i="22"/>
  <c r="AL21" i="22"/>
  <c r="AL20" i="22"/>
  <c r="AL19" i="22"/>
  <c r="AL18" i="22"/>
  <c r="AL17" i="22"/>
  <c r="AL16" i="22"/>
  <c r="AL15" i="22"/>
  <c r="AL14" i="22"/>
  <c r="AL13" i="22"/>
  <c r="AL12" i="22"/>
  <c r="AL11" i="22"/>
  <c r="AL10" i="22"/>
  <c r="AL9" i="22"/>
  <c r="K326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F192" i="8"/>
  <c r="F265" i="8"/>
  <c r="F250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C250" i="8"/>
  <c r="F314" i="8"/>
  <c r="F9" i="8"/>
  <c r="F630" i="8"/>
  <c r="C265" i="8"/>
  <c r="G580" i="8" s="1"/>
  <c r="H580" i="8" s="1"/>
  <c r="C111" i="8"/>
  <c r="G427" i="8" s="1"/>
  <c r="H427" i="8" s="1"/>
  <c r="C311" i="8"/>
  <c r="G626" i="8" s="1"/>
  <c r="H626" i="8" s="1"/>
  <c r="C310" i="8"/>
  <c r="G625" i="8" s="1"/>
  <c r="H625" i="8" s="1"/>
  <c r="C309" i="8"/>
  <c r="G624" i="8" s="1"/>
  <c r="H624" i="8" s="1"/>
  <c r="C308" i="8"/>
  <c r="G623" i="8" s="1"/>
  <c r="H623" i="8" s="1"/>
  <c r="C307" i="8"/>
  <c r="G622" i="8" s="1"/>
  <c r="H622" i="8" s="1"/>
  <c r="C306" i="8"/>
  <c r="G621" i="8" s="1"/>
  <c r="H621" i="8" s="1"/>
  <c r="C305" i="8"/>
  <c r="G620" i="8" s="1"/>
  <c r="H620" i="8" s="1"/>
  <c r="C304" i="8"/>
  <c r="G619" i="8" s="1"/>
  <c r="H619" i="8" s="1"/>
  <c r="C303" i="8"/>
  <c r="G618" i="8" s="1"/>
  <c r="H618" i="8" s="1"/>
  <c r="C302" i="8"/>
  <c r="G617" i="8" s="1"/>
  <c r="H617" i="8" s="1"/>
  <c r="C301" i="8"/>
  <c r="G616" i="8" s="1"/>
  <c r="H616" i="8" s="1"/>
  <c r="C300" i="8"/>
  <c r="G615" i="8" s="1"/>
  <c r="H615" i="8" s="1"/>
  <c r="C299" i="8"/>
  <c r="G614" i="8" s="1"/>
  <c r="H614" i="8" s="1"/>
  <c r="C298" i="8"/>
  <c r="G613" i="8" s="1"/>
  <c r="H613" i="8" s="1"/>
  <c r="C297" i="8"/>
  <c r="G612" i="8" s="1"/>
  <c r="H612" i="8" s="1"/>
  <c r="C296" i="8"/>
  <c r="G611" i="8" s="1"/>
  <c r="H611" i="8" s="1"/>
  <c r="C295" i="8"/>
  <c r="G610" i="8" s="1"/>
  <c r="H610" i="8" s="1"/>
  <c r="C294" i="8"/>
  <c r="G609" i="8" s="1"/>
  <c r="H609" i="8" s="1"/>
  <c r="C293" i="8"/>
  <c r="G608" i="8" s="1"/>
  <c r="H608" i="8" s="1"/>
  <c r="C292" i="8"/>
  <c r="G607" i="8" s="1"/>
  <c r="H607" i="8" s="1"/>
  <c r="C291" i="8"/>
  <c r="G606" i="8" s="1"/>
  <c r="H606" i="8" s="1"/>
  <c r="C290" i="8"/>
  <c r="G605" i="8" s="1"/>
  <c r="H605" i="8" s="1"/>
  <c r="C289" i="8"/>
  <c r="G604" i="8" s="1"/>
  <c r="H604" i="8" s="1"/>
  <c r="C288" i="8"/>
  <c r="G603" i="8" s="1"/>
  <c r="H603" i="8" s="1"/>
  <c r="C287" i="8"/>
  <c r="G602" i="8" s="1"/>
  <c r="H602" i="8" s="1"/>
  <c r="C286" i="8"/>
  <c r="G601" i="8" s="1"/>
  <c r="H601" i="8" s="1"/>
  <c r="C285" i="8"/>
  <c r="G600" i="8" s="1"/>
  <c r="H600" i="8" s="1"/>
  <c r="C284" i="8"/>
  <c r="G599" i="8" s="1"/>
  <c r="H599" i="8" s="1"/>
  <c r="C283" i="8"/>
  <c r="G598" i="8" s="1"/>
  <c r="H598" i="8" s="1"/>
  <c r="C282" i="8"/>
  <c r="G597" i="8" s="1"/>
  <c r="H597" i="8" s="1"/>
  <c r="C281" i="8"/>
  <c r="G596" i="8" s="1"/>
  <c r="H596" i="8" s="1"/>
  <c r="C280" i="8"/>
  <c r="G595" i="8" s="1"/>
  <c r="H595" i="8" s="1"/>
  <c r="C279" i="8"/>
  <c r="G594" i="8" s="1"/>
  <c r="H594" i="8" s="1"/>
  <c r="C278" i="8"/>
  <c r="G593" i="8" s="1"/>
  <c r="H593" i="8" s="1"/>
  <c r="C277" i="8"/>
  <c r="G592" i="8" s="1"/>
  <c r="H592" i="8" s="1"/>
  <c r="C276" i="8"/>
  <c r="G591" i="8" s="1"/>
  <c r="H591" i="8" s="1"/>
  <c r="C275" i="8"/>
  <c r="G590" i="8" s="1"/>
  <c r="H590" i="8" s="1"/>
  <c r="C274" i="8"/>
  <c r="G589" i="8" s="1"/>
  <c r="H589" i="8" s="1"/>
  <c r="C273" i="8"/>
  <c r="G588" i="8" s="1"/>
  <c r="H588" i="8" s="1"/>
  <c r="C272" i="8"/>
  <c r="G587" i="8" s="1"/>
  <c r="H587" i="8" s="1"/>
  <c r="C271" i="8"/>
  <c r="G586" i="8" s="1"/>
  <c r="H586" i="8" s="1"/>
  <c r="C270" i="8"/>
  <c r="G585" i="8" s="1"/>
  <c r="H585" i="8" s="1"/>
  <c r="C269" i="8"/>
  <c r="G584" i="8" s="1"/>
  <c r="H584" i="8" s="1"/>
  <c r="C268" i="8"/>
  <c r="G583" i="8" s="1"/>
  <c r="H583" i="8" s="1"/>
  <c r="C267" i="8"/>
  <c r="G582" i="8" s="1"/>
  <c r="H582" i="8" s="1"/>
  <c r="C266" i="8"/>
  <c r="G581" i="8" s="1"/>
  <c r="H581" i="8" s="1"/>
  <c r="C264" i="8"/>
  <c r="G579" i="8" s="1"/>
  <c r="H579" i="8" s="1"/>
  <c r="C263" i="8"/>
  <c r="G578" i="8" s="1"/>
  <c r="H578" i="8" s="1"/>
  <c r="C262" i="8"/>
  <c r="G577" i="8" s="1"/>
  <c r="H577" i="8" s="1"/>
  <c r="C261" i="8"/>
  <c r="G576" i="8" s="1"/>
  <c r="H576" i="8" s="1"/>
  <c r="C260" i="8"/>
  <c r="G575" i="8" s="1"/>
  <c r="H575" i="8" s="1"/>
  <c r="C259" i="8"/>
  <c r="G574" i="8" s="1"/>
  <c r="H574" i="8" s="1"/>
  <c r="C258" i="8"/>
  <c r="G573" i="8" s="1"/>
  <c r="H573" i="8" s="1"/>
  <c r="C257" i="8"/>
  <c r="G572" i="8" s="1"/>
  <c r="H572" i="8" s="1"/>
  <c r="C256" i="8"/>
  <c r="G571" i="8" s="1"/>
  <c r="H571" i="8" s="1"/>
  <c r="C255" i="8"/>
  <c r="G570" i="8" s="1"/>
  <c r="H570" i="8" s="1"/>
  <c r="C254" i="8"/>
  <c r="G569" i="8" s="1"/>
  <c r="H569" i="8" s="1"/>
  <c r="C253" i="8"/>
  <c r="G568" i="8" s="1"/>
  <c r="H568" i="8" s="1"/>
  <c r="C252" i="8"/>
  <c r="G331" i="8" s="1"/>
  <c r="H331" i="8" s="1"/>
  <c r="C251" i="8"/>
  <c r="G567" i="8" s="1"/>
  <c r="H567" i="8" s="1"/>
  <c r="C249" i="8"/>
  <c r="G565" i="8" s="1"/>
  <c r="H565" i="8" s="1"/>
  <c r="C248" i="8"/>
  <c r="G564" i="8" s="1"/>
  <c r="H564" i="8" s="1"/>
  <c r="C247" i="8"/>
  <c r="G563" i="8" s="1"/>
  <c r="H563" i="8" s="1"/>
  <c r="C246" i="8"/>
  <c r="G562" i="8" s="1"/>
  <c r="H562" i="8" s="1"/>
  <c r="C245" i="8"/>
  <c r="G561" i="8" s="1"/>
  <c r="H561" i="8" s="1"/>
  <c r="C244" i="8"/>
  <c r="G560" i="8" s="1"/>
  <c r="H560" i="8" s="1"/>
  <c r="C243" i="8"/>
  <c r="G559" i="8" s="1"/>
  <c r="H559" i="8" s="1"/>
  <c r="C242" i="8"/>
  <c r="G558" i="8" s="1"/>
  <c r="H558" i="8" s="1"/>
  <c r="C241" i="8"/>
  <c r="G557" i="8" s="1"/>
  <c r="H557" i="8" s="1"/>
  <c r="C240" i="8"/>
  <c r="G556" i="8" s="1"/>
  <c r="H556" i="8" s="1"/>
  <c r="C239" i="8"/>
  <c r="G555" i="8" s="1"/>
  <c r="H555" i="8" s="1"/>
  <c r="C238" i="8"/>
  <c r="G554" i="8" s="1"/>
  <c r="H554" i="8" s="1"/>
  <c r="C237" i="8"/>
  <c r="G553" i="8" s="1"/>
  <c r="H553" i="8" s="1"/>
  <c r="C236" i="8"/>
  <c r="G552" i="8" s="1"/>
  <c r="H552" i="8" s="1"/>
  <c r="C235" i="8"/>
  <c r="G551" i="8" s="1"/>
  <c r="H551" i="8" s="1"/>
  <c r="C234" i="8"/>
  <c r="G550" i="8" s="1"/>
  <c r="H550" i="8" s="1"/>
  <c r="C233" i="8"/>
  <c r="G549" i="8" s="1"/>
  <c r="H549" i="8" s="1"/>
  <c r="C232" i="8"/>
  <c r="G548" i="8" s="1"/>
  <c r="H548" i="8" s="1"/>
  <c r="C231" i="8"/>
  <c r="G547" i="8" s="1"/>
  <c r="H547" i="8" s="1"/>
  <c r="C230" i="8"/>
  <c r="G546" i="8" s="1"/>
  <c r="H546" i="8" s="1"/>
  <c r="C229" i="8"/>
  <c r="G545" i="8" s="1"/>
  <c r="H545" i="8" s="1"/>
  <c r="C228" i="8"/>
  <c r="G544" i="8" s="1"/>
  <c r="H544" i="8" s="1"/>
  <c r="C227" i="8"/>
  <c r="G543" i="8" s="1"/>
  <c r="H543" i="8" s="1"/>
  <c r="C226" i="8"/>
  <c r="G542" i="8" s="1"/>
  <c r="H542" i="8" s="1"/>
  <c r="C225" i="8"/>
  <c r="G541" i="8" s="1"/>
  <c r="H541" i="8" s="1"/>
  <c r="C224" i="8"/>
  <c r="G540" i="8" s="1"/>
  <c r="H540" i="8" s="1"/>
  <c r="C223" i="8"/>
  <c r="G539" i="8" s="1"/>
  <c r="H539" i="8" s="1"/>
  <c r="C222" i="8"/>
  <c r="G538" i="8" s="1"/>
  <c r="H538" i="8" s="1"/>
  <c r="C221" i="8"/>
  <c r="G537" i="8" s="1"/>
  <c r="H537" i="8" s="1"/>
  <c r="C220" i="8"/>
  <c r="G536" i="8" s="1"/>
  <c r="H536" i="8" s="1"/>
  <c r="C219" i="8"/>
  <c r="G535" i="8" s="1"/>
  <c r="H535" i="8" s="1"/>
  <c r="C218" i="8"/>
  <c r="G534" i="8" s="1"/>
  <c r="H534" i="8" s="1"/>
  <c r="C217" i="8"/>
  <c r="G533" i="8" s="1"/>
  <c r="H533" i="8" s="1"/>
  <c r="C216" i="8"/>
  <c r="G532" i="8" s="1"/>
  <c r="H532" i="8" s="1"/>
  <c r="C215" i="8"/>
  <c r="G531" i="8" s="1"/>
  <c r="H531" i="8" s="1"/>
  <c r="C214" i="8"/>
  <c r="G530" i="8" s="1"/>
  <c r="H530" i="8" s="1"/>
  <c r="C213" i="8"/>
  <c r="G529" i="8" s="1"/>
  <c r="H529" i="8" s="1"/>
  <c r="C212" i="8"/>
  <c r="G528" i="8" s="1"/>
  <c r="H528" i="8" s="1"/>
  <c r="C211" i="8"/>
  <c r="G527" i="8" s="1"/>
  <c r="H527" i="8" s="1"/>
  <c r="C210" i="8"/>
  <c r="G526" i="8" s="1"/>
  <c r="H526" i="8" s="1"/>
  <c r="C209" i="8"/>
  <c r="G525" i="8" s="1"/>
  <c r="H525" i="8" s="1"/>
  <c r="C208" i="8"/>
  <c r="G524" i="8" s="1"/>
  <c r="H524" i="8" s="1"/>
  <c r="C207" i="8"/>
  <c r="G523" i="8" s="1"/>
  <c r="H523" i="8" s="1"/>
  <c r="C206" i="8"/>
  <c r="G522" i="8" s="1"/>
  <c r="H522" i="8" s="1"/>
  <c r="C205" i="8"/>
  <c r="G521" i="8" s="1"/>
  <c r="H521" i="8" s="1"/>
  <c r="C204" i="8"/>
  <c r="G520" i="8" s="1"/>
  <c r="H520" i="8" s="1"/>
  <c r="C203" i="8"/>
  <c r="G519" i="8" s="1"/>
  <c r="H519" i="8" s="1"/>
  <c r="C202" i="8"/>
  <c r="G518" i="8" s="1"/>
  <c r="H518" i="8" s="1"/>
  <c r="C201" i="8"/>
  <c r="G517" i="8" s="1"/>
  <c r="H517" i="8" s="1"/>
  <c r="C200" i="8"/>
  <c r="G516" i="8" s="1"/>
  <c r="H516" i="8" s="1"/>
  <c r="C199" i="8"/>
  <c r="G515" i="8" s="1"/>
  <c r="H515" i="8" s="1"/>
  <c r="C198" i="8"/>
  <c r="G514" i="8" s="1"/>
  <c r="H514" i="8" s="1"/>
  <c r="C197" i="8"/>
  <c r="G513" i="8" s="1"/>
  <c r="H513" i="8" s="1"/>
  <c r="C196" i="8"/>
  <c r="G512" i="8" s="1"/>
  <c r="H512" i="8" s="1"/>
  <c r="C195" i="8"/>
  <c r="G510" i="8" s="1"/>
  <c r="H510" i="8" s="1"/>
  <c r="C194" i="8"/>
  <c r="G509" i="8" s="1"/>
  <c r="H509" i="8" s="1"/>
  <c r="C193" i="8"/>
  <c r="G508" i="8" s="1"/>
  <c r="H508" i="8" s="1"/>
  <c r="C192" i="8"/>
  <c r="G511" i="8" s="1"/>
  <c r="H511" i="8" s="1"/>
  <c r="C191" i="8"/>
  <c r="G507" i="8" s="1"/>
  <c r="H507" i="8" s="1"/>
  <c r="C190" i="8"/>
  <c r="G506" i="8" s="1"/>
  <c r="H506" i="8" s="1"/>
  <c r="C189" i="8"/>
  <c r="G505" i="8" s="1"/>
  <c r="H505" i="8" s="1"/>
  <c r="C188" i="8"/>
  <c r="G504" i="8" s="1"/>
  <c r="H504" i="8" s="1"/>
  <c r="C187" i="8"/>
  <c r="G503" i="8" s="1"/>
  <c r="H503" i="8" s="1"/>
  <c r="C186" i="8"/>
  <c r="G502" i="8" s="1"/>
  <c r="H502" i="8" s="1"/>
  <c r="C185" i="8"/>
  <c r="G501" i="8" s="1"/>
  <c r="H501" i="8" s="1"/>
  <c r="C184" i="8"/>
  <c r="G500" i="8" s="1"/>
  <c r="H500" i="8" s="1"/>
  <c r="C183" i="8"/>
  <c r="G499" i="8" s="1"/>
  <c r="H499" i="8" s="1"/>
  <c r="C182" i="8"/>
  <c r="G498" i="8" s="1"/>
  <c r="H498" i="8" s="1"/>
  <c r="C181" i="8"/>
  <c r="G497" i="8" s="1"/>
  <c r="H497" i="8" s="1"/>
  <c r="C180" i="8"/>
  <c r="G496" i="8" s="1"/>
  <c r="H496" i="8" s="1"/>
  <c r="C179" i="8"/>
  <c r="G495" i="8" s="1"/>
  <c r="H495" i="8" s="1"/>
  <c r="C178" i="8"/>
  <c r="G494" i="8" s="1"/>
  <c r="H494" i="8" s="1"/>
  <c r="C177" i="8"/>
  <c r="G493" i="8" s="1"/>
  <c r="H493" i="8" s="1"/>
  <c r="C176" i="8"/>
  <c r="G492" i="8" s="1"/>
  <c r="H492" i="8" s="1"/>
  <c r="C175" i="8"/>
  <c r="G491" i="8" s="1"/>
  <c r="H491" i="8" s="1"/>
  <c r="C174" i="8"/>
  <c r="G490" i="8" s="1"/>
  <c r="H490" i="8" s="1"/>
  <c r="C173" i="8"/>
  <c r="G489" i="8" s="1"/>
  <c r="H489" i="8" s="1"/>
  <c r="C172" i="8"/>
  <c r="G488" i="8" s="1"/>
  <c r="H488" i="8" s="1"/>
  <c r="C171" i="8"/>
  <c r="G487" i="8" s="1"/>
  <c r="H487" i="8" s="1"/>
  <c r="C170" i="8"/>
  <c r="G486" i="8" s="1"/>
  <c r="H486" i="8" s="1"/>
  <c r="C169" i="8"/>
  <c r="G485" i="8" s="1"/>
  <c r="H485" i="8" s="1"/>
  <c r="C168" i="8"/>
  <c r="G484" i="8" s="1"/>
  <c r="H484" i="8" s="1"/>
  <c r="C167" i="8"/>
  <c r="G483" i="8" s="1"/>
  <c r="H483" i="8" s="1"/>
  <c r="C166" i="8"/>
  <c r="G482" i="8" s="1"/>
  <c r="H482" i="8" s="1"/>
  <c r="C165" i="8"/>
  <c r="G481" i="8" s="1"/>
  <c r="H481" i="8" s="1"/>
  <c r="C164" i="8"/>
  <c r="G480" i="8" s="1"/>
  <c r="H480" i="8" s="1"/>
  <c r="C163" i="8"/>
  <c r="G479" i="8" s="1"/>
  <c r="H479" i="8" s="1"/>
  <c r="C162" i="8"/>
  <c r="G478" i="8" s="1"/>
  <c r="H478" i="8" s="1"/>
  <c r="C161" i="8"/>
  <c r="G477" i="8" s="1"/>
  <c r="H477" i="8" s="1"/>
  <c r="C160" i="8"/>
  <c r="G476" i="8" s="1"/>
  <c r="H476" i="8" s="1"/>
  <c r="C159" i="8"/>
  <c r="G475" i="8" s="1"/>
  <c r="H475" i="8" s="1"/>
  <c r="C158" i="8"/>
  <c r="G474" i="8" s="1"/>
  <c r="H474" i="8" s="1"/>
  <c r="C157" i="8"/>
  <c r="G473" i="8" s="1"/>
  <c r="H473" i="8" s="1"/>
  <c r="C156" i="8"/>
  <c r="G472" i="8" s="1"/>
  <c r="H472" i="8" s="1"/>
  <c r="C155" i="8"/>
  <c r="G471" i="8" s="1"/>
  <c r="H471" i="8" s="1"/>
  <c r="C154" i="8"/>
  <c r="G470" i="8" s="1"/>
  <c r="H470" i="8" s="1"/>
  <c r="C153" i="8"/>
  <c r="G469" i="8" s="1"/>
  <c r="H469" i="8" s="1"/>
  <c r="C152" i="8"/>
  <c r="G468" i="8" s="1"/>
  <c r="H468" i="8" s="1"/>
  <c r="C151" i="8"/>
  <c r="G467" i="8" s="1"/>
  <c r="H467" i="8" s="1"/>
  <c r="C150" i="8"/>
  <c r="G466" i="8" s="1"/>
  <c r="H466" i="8" s="1"/>
  <c r="C149" i="8"/>
  <c r="G465" i="8" s="1"/>
  <c r="H465" i="8" s="1"/>
  <c r="C148" i="8"/>
  <c r="G464" i="8" s="1"/>
  <c r="H464" i="8" s="1"/>
  <c r="C147" i="8"/>
  <c r="G463" i="8" s="1"/>
  <c r="H463" i="8" s="1"/>
  <c r="C146" i="8"/>
  <c r="G462" i="8" s="1"/>
  <c r="H462" i="8" s="1"/>
  <c r="C145" i="8"/>
  <c r="G461" i="8" s="1"/>
  <c r="H461" i="8" s="1"/>
  <c r="C144" i="8"/>
  <c r="G460" i="8" s="1"/>
  <c r="H460" i="8" s="1"/>
  <c r="C143" i="8"/>
  <c r="G459" i="8" s="1"/>
  <c r="H459" i="8" s="1"/>
  <c r="C142" i="8"/>
  <c r="G458" i="8" s="1"/>
  <c r="H458" i="8" s="1"/>
  <c r="C141" i="8"/>
  <c r="G457" i="8" s="1"/>
  <c r="H457" i="8" s="1"/>
  <c r="C140" i="8"/>
  <c r="G456" i="8" s="1"/>
  <c r="H456" i="8" s="1"/>
  <c r="C139" i="8"/>
  <c r="G455" i="8" s="1"/>
  <c r="H455" i="8" s="1"/>
  <c r="C138" i="8"/>
  <c r="G454" i="8" s="1"/>
  <c r="H454" i="8" s="1"/>
  <c r="C137" i="8"/>
  <c r="G453" i="8" s="1"/>
  <c r="H453" i="8" s="1"/>
  <c r="C136" i="8"/>
  <c r="G452" i="8" s="1"/>
  <c r="H452" i="8" s="1"/>
  <c r="C135" i="8"/>
  <c r="G451" i="8" s="1"/>
  <c r="H451" i="8" s="1"/>
  <c r="C134" i="8"/>
  <c r="G450" i="8" s="1"/>
  <c r="H450" i="8" s="1"/>
  <c r="C133" i="8"/>
  <c r="G449" i="8" s="1"/>
  <c r="H449" i="8" s="1"/>
  <c r="C132" i="8"/>
  <c r="G448" i="8" s="1"/>
  <c r="H448" i="8" s="1"/>
  <c r="C131" i="8"/>
  <c r="G447" i="8" s="1"/>
  <c r="H447" i="8" s="1"/>
  <c r="C130" i="8"/>
  <c r="G446" i="8" s="1"/>
  <c r="H446" i="8" s="1"/>
  <c r="C129" i="8"/>
  <c r="G445" i="8" s="1"/>
  <c r="H445" i="8" s="1"/>
  <c r="C128" i="8"/>
  <c r="G444" i="8" s="1"/>
  <c r="H444" i="8" s="1"/>
  <c r="C127" i="8"/>
  <c r="G443" i="8" s="1"/>
  <c r="H443" i="8" s="1"/>
  <c r="C126" i="8"/>
  <c r="G442" i="8" s="1"/>
  <c r="H442" i="8" s="1"/>
  <c r="C125" i="8"/>
  <c r="G441" i="8" s="1"/>
  <c r="H441" i="8" s="1"/>
  <c r="C124" i="8"/>
  <c r="G440" i="8" s="1"/>
  <c r="H440" i="8" s="1"/>
  <c r="C123" i="8"/>
  <c r="G439" i="8" s="1"/>
  <c r="H439" i="8" s="1"/>
  <c r="C122" i="8"/>
  <c r="G438" i="8" s="1"/>
  <c r="H438" i="8" s="1"/>
  <c r="C121" i="8"/>
  <c r="G437" i="8" s="1"/>
  <c r="H437" i="8" s="1"/>
  <c r="C120" i="8"/>
  <c r="G436" i="8" s="1"/>
  <c r="H436" i="8" s="1"/>
  <c r="C119" i="8"/>
  <c r="G435" i="8" s="1"/>
  <c r="H435" i="8" s="1"/>
  <c r="C118" i="8"/>
  <c r="G434" i="8" s="1"/>
  <c r="H434" i="8" s="1"/>
  <c r="C117" i="8"/>
  <c r="G433" i="8" s="1"/>
  <c r="H433" i="8" s="1"/>
  <c r="C116" i="8"/>
  <c r="G432" i="8" s="1"/>
  <c r="H432" i="8" s="1"/>
  <c r="C115" i="8"/>
  <c r="G431" i="8" s="1"/>
  <c r="H431" i="8" s="1"/>
  <c r="C114" i="8"/>
  <c r="G430" i="8" s="1"/>
  <c r="H430" i="8" s="1"/>
  <c r="C113" i="8"/>
  <c r="G429" i="8" s="1"/>
  <c r="H429" i="8" s="1"/>
  <c r="C112" i="8"/>
  <c r="G428" i="8" s="1"/>
  <c r="H428" i="8" s="1"/>
  <c r="C110" i="8"/>
  <c r="G425" i="8" s="1"/>
  <c r="H425" i="8" s="1"/>
  <c r="C109" i="8"/>
  <c r="G426" i="8" s="1"/>
  <c r="H426" i="8" s="1"/>
  <c r="C108" i="8"/>
  <c r="G424" i="8" s="1"/>
  <c r="H424" i="8" s="1"/>
  <c r="C107" i="8"/>
  <c r="G423" i="8" s="1"/>
  <c r="H423" i="8" s="1"/>
  <c r="C106" i="8"/>
  <c r="G422" i="8" s="1"/>
  <c r="H422" i="8" s="1"/>
  <c r="C105" i="8"/>
  <c r="G421" i="8" s="1"/>
  <c r="H421" i="8" s="1"/>
  <c r="C104" i="8"/>
  <c r="G420" i="8" s="1"/>
  <c r="H420" i="8" s="1"/>
  <c r="C103" i="8"/>
  <c r="G419" i="8" s="1"/>
  <c r="H419" i="8" s="1"/>
  <c r="C102" i="8"/>
  <c r="G418" i="8" s="1"/>
  <c r="H418" i="8" s="1"/>
  <c r="C101" i="8"/>
  <c r="G417" i="8" s="1"/>
  <c r="H417" i="8" s="1"/>
  <c r="C100" i="8"/>
  <c r="G416" i="8" s="1"/>
  <c r="H416" i="8" s="1"/>
  <c r="C99" i="8"/>
  <c r="G415" i="8" s="1"/>
  <c r="H415" i="8" s="1"/>
  <c r="C98" i="8"/>
  <c r="G414" i="8" s="1"/>
  <c r="H414" i="8" s="1"/>
  <c r="C97" i="8"/>
  <c r="G413" i="8" s="1"/>
  <c r="H413" i="8" s="1"/>
  <c r="C96" i="8"/>
  <c r="G412" i="8" s="1"/>
  <c r="H412" i="8" s="1"/>
  <c r="C95" i="8"/>
  <c r="G411" i="8" s="1"/>
  <c r="H411" i="8" s="1"/>
  <c r="C94" i="8"/>
  <c r="G410" i="8" s="1"/>
  <c r="H410" i="8" s="1"/>
  <c r="C93" i="8"/>
  <c r="G409" i="8" s="1"/>
  <c r="H409" i="8" s="1"/>
  <c r="C92" i="8"/>
  <c r="G408" i="8" s="1"/>
  <c r="H408" i="8" s="1"/>
  <c r="C91" i="8"/>
  <c r="G407" i="8" s="1"/>
  <c r="H407" i="8" s="1"/>
  <c r="C90" i="8"/>
  <c r="G406" i="8" s="1"/>
  <c r="H406" i="8" s="1"/>
  <c r="C89" i="8"/>
  <c r="G405" i="8" s="1"/>
  <c r="H405" i="8" s="1"/>
  <c r="C88" i="8"/>
  <c r="G404" i="8" s="1"/>
  <c r="H404" i="8" s="1"/>
  <c r="C87" i="8"/>
  <c r="G403" i="8" s="1"/>
  <c r="H403" i="8" s="1"/>
  <c r="C86" i="8"/>
  <c r="G402" i="8" s="1"/>
  <c r="H402" i="8" s="1"/>
  <c r="C85" i="8"/>
  <c r="G401" i="8" s="1"/>
  <c r="H401" i="8" s="1"/>
  <c r="C84" i="8"/>
  <c r="G400" i="8" s="1"/>
  <c r="H400" i="8" s="1"/>
  <c r="C83" i="8"/>
  <c r="G399" i="8" s="1"/>
  <c r="H399" i="8" s="1"/>
  <c r="C82" i="8"/>
  <c r="G398" i="8" s="1"/>
  <c r="H398" i="8" s="1"/>
  <c r="C81" i="8"/>
  <c r="G397" i="8" s="1"/>
  <c r="H397" i="8" s="1"/>
  <c r="C80" i="8"/>
  <c r="G396" i="8" s="1"/>
  <c r="H396" i="8" s="1"/>
  <c r="C79" i="8"/>
  <c r="G395" i="8" s="1"/>
  <c r="H395" i="8" s="1"/>
  <c r="C78" i="8"/>
  <c r="G394" i="8" s="1"/>
  <c r="H394" i="8" s="1"/>
  <c r="C77" i="8"/>
  <c r="G393" i="8" s="1"/>
  <c r="H393" i="8" s="1"/>
  <c r="C76" i="8"/>
  <c r="G392" i="8" s="1"/>
  <c r="H392" i="8" s="1"/>
  <c r="C75" i="8"/>
  <c r="G391" i="8" s="1"/>
  <c r="H391" i="8" s="1"/>
  <c r="C74" i="8"/>
  <c r="G390" i="8" s="1"/>
  <c r="H390" i="8" s="1"/>
  <c r="C73" i="8"/>
  <c r="G389" i="8" s="1"/>
  <c r="H389" i="8" s="1"/>
  <c r="C72" i="8"/>
  <c r="G388" i="8" s="1"/>
  <c r="H388" i="8" s="1"/>
  <c r="C71" i="8"/>
  <c r="G387" i="8" s="1"/>
  <c r="H387" i="8" s="1"/>
  <c r="C70" i="8"/>
  <c r="G386" i="8" s="1"/>
  <c r="H386" i="8" s="1"/>
  <c r="C69" i="8"/>
  <c r="G385" i="8" s="1"/>
  <c r="H385" i="8" s="1"/>
  <c r="C68" i="8"/>
  <c r="G384" i="8" s="1"/>
  <c r="H384" i="8" s="1"/>
  <c r="C67" i="8"/>
  <c r="G383" i="8" s="1"/>
  <c r="H383" i="8" s="1"/>
  <c r="C66" i="8"/>
  <c r="G382" i="8" s="1"/>
  <c r="H382" i="8" s="1"/>
  <c r="C65" i="8"/>
  <c r="G381" i="8" s="1"/>
  <c r="H381" i="8" s="1"/>
  <c r="C64" i="8"/>
  <c r="G380" i="8" s="1"/>
  <c r="H380" i="8" s="1"/>
  <c r="C63" i="8"/>
  <c r="G379" i="8" s="1"/>
  <c r="H379" i="8" s="1"/>
  <c r="C62" i="8"/>
  <c r="G378" i="8" s="1"/>
  <c r="H378" i="8" s="1"/>
  <c r="C61" i="8"/>
  <c r="G377" i="8" s="1"/>
  <c r="H377" i="8" s="1"/>
  <c r="C60" i="8"/>
  <c r="G376" i="8" s="1"/>
  <c r="H376" i="8" s="1"/>
  <c r="C59" i="8"/>
  <c r="G375" i="8" s="1"/>
  <c r="H375" i="8" s="1"/>
  <c r="C58" i="8"/>
  <c r="G374" i="8" s="1"/>
  <c r="H374" i="8" s="1"/>
  <c r="C57" i="8"/>
  <c r="G373" i="8" s="1"/>
  <c r="H373" i="8" s="1"/>
  <c r="C56" i="8"/>
  <c r="G372" i="8" s="1"/>
  <c r="H372" i="8" s="1"/>
  <c r="C55" i="8"/>
  <c r="G371" i="8" s="1"/>
  <c r="H371" i="8" s="1"/>
  <c r="C54" i="8"/>
  <c r="G370" i="8" s="1"/>
  <c r="H370" i="8" s="1"/>
  <c r="C53" i="8"/>
  <c r="G369" i="8" s="1"/>
  <c r="H369" i="8" s="1"/>
  <c r="C52" i="8"/>
  <c r="G368" i="8" s="1"/>
  <c r="H368" i="8" s="1"/>
  <c r="C51" i="8"/>
  <c r="G367" i="8" s="1"/>
  <c r="H367" i="8" s="1"/>
  <c r="C50" i="8"/>
  <c r="G366" i="8" s="1"/>
  <c r="H366" i="8" s="1"/>
  <c r="C49" i="8"/>
  <c r="G365" i="8" s="1"/>
  <c r="H365" i="8" s="1"/>
  <c r="C48" i="8"/>
  <c r="G364" i="8" s="1"/>
  <c r="H364" i="8" s="1"/>
  <c r="C47" i="8"/>
  <c r="G363" i="8" s="1"/>
  <c r="H363" i="8" s="1"/>
  <c r="C46" i="8"/>
  <c r="G362" i="8" s="1"/>
  <c r="H362" i="8" s="1"/>
  <c r="C45" i="8"/>
  <c r="G361" i="8" s="1"/>
  <c r="H361" i="8" s="1"/>
  <c r="C44" i="8"/>
  <c r="G360" i="8" s="1"/>
  <c r="H360" i="8" s="1"/>
  <c r="C43" i="8"/>
  <c r="G359" i="8" s="1"/>
  <c r="H359" i="8" s="1"/>
  <c r="C42" i="8"/>
  <c r="G358" i="8" s="1"/>
  <c r="H358" i="8" s="1"/>
  <c r="C41" i="8"/>
  <c r="G357" i="8" s="1"/>
  <c r="H357" i="8" s="1"/>
  <c r="C40" i="8"/>
  <c r="G356" i="8" s="1"/>
  <c r="H356" i="8" s="1"/>
  <c r="C39" i="8"/>
  <c r="G355" i="8" s="1"/>
  <c r="H355" i="8" s="1"/>
  <c r="C38" i="8"/>
  <c r="G354" i="8" s="1"/>
  <c r="H354" i="8" s="1"/>
  <c r="C37" i="8"/>
  <c r="G353" i="8" s="1"/>
  <c r="H353" i="8" s="1"/>
  <c r="C36" i="8"/>
  <c r="C35" i="8"/>
  <c r="G351" i="8" s="1"/>
  <c r="H351" i="8" s="1"/>
  <c r="C34" i="8"/>
  <c r="G350" i="8" s="1"/>
  <c r="H350" i="8" s="1"/>
  <c r="C33" i="8"/>
  <c r="G349" i="8" s="1"/>
  <c r="H349" i="8" s="1"/>
  <c r="C32" i="8"/>
  <c r="G348" i="8" s="1"/>
  <c r="H348" i="8" s="1"/>
  <c r="C31" i="8"/>
  <c r="G347" i="8" s="1"/>
  <c r="H347" i="8" s="1"/>
  <c r="C30" i="8"/>
  <c r="G346" i="8" s="1"/>
  <c r="H346" i="8" s="1"/>
  <c r="C29" i="8"/>
  <c r="G345" i="8" s="1"/>
  <c r="H345" i="8" s="1"/>
  <c r="C28" i="8"/>
  <c r="G344" i="8" s="1"/>
  <c r="H344" i="8" s="1"/>
  <c r="C27" i="8"/>
  <c r="G343" i="8" s="1"/>
  <c r="H343" i="8" s="1"/>
  <c r="C26" i="8"/>
  <c r="G342" i="8" s="1"/>
  <c r="H342" i="8" s="1"/>
  <c r="C25" i="8"/>
  <c r="G341" i="8" s="1"/>
  <c r="H341" i="8" s="1"/>
  <c r="C24" i="8"/>
  <c r="G340" i="8" s="1"/>
  <c r="H340" i="8" s="1"/>
  <c r="C23" i="8"/>
  <c r="G339" i="8" s="1"/>
  <c r="H339" i="8" s="1"/>
  <c r="C22" i="8"/>
  <c r="G338" i="8" s="1"/>
  <c r="H338" i="8" s="1"/>
  <c r="C21" i="8"/>
  <c r="G337" i="8" s="1"/>
  <c r="H337" i="8" s="1"/>
  <c r="C20" i="8"/>
  <c r="G336" i="8" s="1"/>
  <c r="H336" i="8" s="1"/>
  <c r="C19" i="8"/>
  <c r="G335" i="8" s="1"/>
  <c r="H335" i="8" s="1"/>
  <c r="C18" i="8"/>
  <c r="G334" i="8" s="1"/>
  <c r="H334" i="8" s="1"/>
  <c r="C17" i="8"/>
  <c r="G333" i="8" s="1"/>
  <c r="H333" i="8" s="1"/>
  <c r="C16" i="8"/>
  <c r="G332" i="8" s="1"/>
  <c r="H332" i="8" s="1"/>
  <c r="C15" i="8"/>
  <c r="G330" i="8" s="1"/>
  <c r="H330" i="8" s="1"/>
  <c r="C14" i="8"/>
  <c r="G329" i="8" s="1"/>
  <c r="H329" i="8" s="1"/>
  <c r="C13" i="8"/>
  <c r="G328" i="8" s="1"/>
  <c r="H328" i="8" s="1"/>
  <c r="C12" i="8"/>
  <c r="G327" i="8" s="1"/>
  <c r="H327" i="8" s="1"/>
  <c r="C11" i="8"/>
  <c r="G326" i="8" s="1"/>
  <c r="H326" i="8" s="1"/>
  <c r="C10" i="8"/>
  <c r="G325" i="8" s="1"/>
  <c r="H325" i="8" s="1"/>
  <c r="C9" i="8"/>
  <c r="G322" i="8" s="1"/>
  <c r="H322" i="8" s="1"/>
  <c r="C314" i="8"/>
  <c r="G629" i="8" s="1"/>
  <c r="H629" i="8" s="1"/>
  <c r="C313" i="8"/>
  <c r="G628" i="8" s="1"/>
  <c r="H628" i="8" s="1"/>
  <c r="C312" i="8"/>
  <c r="G627" i="8" s="1"/>
  <c r="H627" i="8" s="1"/>
  <c r="G316" i="18"/>
  <c r="F625" i="28"/>
  <c r="F312" i="28"/>
  <c r="C312" i="28"/>
  <c r="F311" i="28"/>
  <c r="C311" i="28"/>
  <c r="F310" i="28"/>
  <c r="C310" i="28"/>
  <c r="F309" i="28"/>
  <c r="C309" i="28"/>
  <c r="F308" i="28"/>
  <c r="C308" i="28"/>
  <c r="F307" i="28"/>
  <c r="C307" i="28"/>
  <c r="F306" i="28"/>
  <c r="C306" i="28"/>
  <c r="F305" i="28"/>
  <c r="C305" i="28"/>
  <c r="F304" i="28"/>
  <c r="C304" i="28"/>
  <c r="F303" i="28"/>
  <c r="C303" i="28"/>
  <c r="F302" i="28"/>
  <c r="C302" i="28"/>
  <c r="F301" i="28"/>
  <c r="C301" i="28"/>
  <c r="F300" i="28"/>
  <c r="C300" i="28"/>
  <c r="F299" i="28"/>
  <c r="C299" i="28"/>
  <c r="F298" i="28"/>
  <c r="C298" i="28"/>
  <c r="F297" i="28"/>
  <c r="C297" i="28"/>
  <c r="F296" i="28"/>
  <c r="C296" i="28"/>
  <c r="F295" i="28"/>
  <c r="C295" i="28"/>
  <c r="F294" i="28"/>
  <c r="C294" i="28"/>
  <c r="F293" i="28"/>
  <c r="C293" i="28"/>
  <c r="F292" i="28"/>
  <c r="C292" i="28"/>
  <c r="F291" i="28"/>
  <c r="C291" i="28"/>
  <c r="F290" i="28"/>
  <c r="C290" i="28"/>
  <c r="F289" i="28"/>
  <c r="C289" i="28"/>
  <c r="F288" i="28"/>
  <c r="C288" i="28"/>
  <c r="F287" i="28"/>
  <c r="C287" i="28"/>
  <c r="F286" i="28"/>
  <c r="C286" i="28"/>
  <c r="F285" i="28"/>
  <c r="C285" i="28"/>
  <c r="F284" i="28"/>
  <c r="C284" i="28"/>
  <c r="F283" i="28"/>
  <c r="C283" i="28"/>
  <c r="F282" i="28"/>
  <c r="C282" i="28"/>
  <c r="F281" i="28"/>
  <c r="C281" i="28"/>
  <c r="F280" i="28"/>
  <c r="C280" i="28"/>
  <c r="F279" i="28"/>
  <c r="C279" i="28"/>
  <c r="F278" i="28"/>
  <c r="C278" i="28"/>
  <c r="F277" i="28"/>
  <c r="C277" i="28"/>
  <c r="F276" i="28"/>
  <c r="C276" i="28"/>
  <c r="F275" i="28"/>
  <c r="C275" i="28"/>
  <c r="F274" i="28"/>
  <c r="C274" i="28"/>
  <c r="F273" i="28"/>
  <c r="C273" i="28"/>
  <c r="F272" i="28"/>
  <c r="C272" i="28"/>
  <c r="F271" i="28"/>
  <c r="C271" i="28"/>
  <c r="F270" i="28"/>
  <c r="C270" i="28"/>
  <c r="F269" i="28"/>
  <c r="C269" i="28"/>
  <c r="F268" i="28"/>
  <c r="C268" i="28"/>
  <c r="F267" i="28"/>
  <c r="C267" i="28"/>
  <c r="F266" i="28"/>
  <c r="C266" i="28"/>
  <c r="F265" i="28"/>
  <c r="C265" i="28"/>
  <c r="F264" i="28"/>
  <c r="C264" i="28"/>
  <c r="F263" i="28"/>
  <c r="C263" i="28"/>
  <c r="F262" i="28"/>
  <c r="C262" i="28"/>
  <c r="F261" i="28"/>
  <c r="C261" i="28"/>
  <c r="F260" i="28"/>
  <c r="C260" i="28"/>
  <c r="F259" i="28"/>
  <c r="C259" i="28"/>
  <c r="F258" i="28"/>
  <c r="C258" i="28"/>
  <c r="F257" i="28"/>
  <c r="C257" i="28"/>
  <c r="F256" i="28"/>
  <c r="C256" i="28"/>
  <c r="F255" i="28"/>
  <c r="C255" i="28"/>
  <c r="F254" i="28"/>
  <c r="C254" i="28"/>
  <c r="F253" i="28"/>
  <c r="C253" i="28"/>
  <c r="F252" i="28"/>
  <c r="C252" i="28"/>
  <c r="F251" i="28"/>
  <c r="C251" i="28"/>
  <c r="F250" i="28"/>
  <c r="C250" i="28"/>
  <c r="F249" i="28"/>
  <c r="C249" i="28"/>
  <c r="F248" i="28"/>
  <c r="C248" i="28"/>
  <c r="F247" i="28"/>
  <c r="C247" i="28"/>
  <c r="F246" i="28"/>
  <c r="C246" i="28"/>
  <c r="F245" i="28"/>
  <c r="C245" i="28"/>
  <c r="F244" i="28"/>
  <c r="C244" i="28"/>
  <c r="F243" i="28"/>
  <c r="C243" i="28"/>
  <c r="F242" i="28"/>
  <c r="C242" i="28"/>
  <c r="F241" i="28"/>
  <c r="C241" i="28"/>
  <c r="F240" i="28"/>
  <c r="C240" i="28"/>
  <c r="F239" i="28"/>
  <c r="C239" i="28"/>
  <c r="F238" i="28"/>
  <c r="C238" i="28"/>
  <c r="F237" i="28"/>
  <c r="C237" i="28"/>
  <c r="F236" i="28"/>
  <c r="C236" i="28"/>
  <c r="F235" i="28"/>
  <c r="C235" i="28"/>
  <c r="F234" i="28"/>
  <c r="C234" i="28"/>
  <c r="F233" i="28"/>
  <c r="C233" i="28"/>
  <c r="F232" i="28"/>
  <c r="C232" i="28"/>
  <c r="F231" i="28"/>
  <c r="C231" i="28"/>
  <c r="F230" i="28"/>
  <c r="C230" i="28"/>
  <c r="F229" i="28"/>
  <c r="C229" i="28"/>
  <c r="F228" i="28"/>
  <c r="C228" i="28"/>
  <c r="F227" i="28"/>
  <c r="C227" i="28"/>
  <c r="F226" i="28"/>
  <c r="C226" i="28"/>
  <c r="F225" i="28"/>
  <c r="C225" i="28"/>
  <c r="F224" i="28"/>
  <c r="C224" i="28"/>
  <c r="F223" i="28"/>
  <c r="C223" i="28"/>
  <c r="F222" i="28"/>
  <c r="C222" i="28"/>
  <c r="F221" i="28"/>
  <c r="C221" i="28"/>
  <c r="F220" i="28"/>
  <c r="C220" i="28"/>
  <c r="F219" i="28"/>
  <c r="C219" i="28"/>
  <c r="F218" i="28"/>
  <c r="C218" i="28"/>
  <c r="F217" i="28"/>
  <c r="C217" i="28"/>
  <c r="F216" i="28"/>
  <c r="C216" i="28"/>
  <c r="F215" i="28"/>
  <c r="C215" i="28"/>
  <c r="F214" i="28"/>
  <c r="C214" i="28"/>
  <c r="F213" i="28"/>
  <c r="C213" i="28"/>
  <c r="F212" i="28"/>
  <c r="C212" i="28"/>
  <c r="F211" i="28"/>
  <c r="C211" i="28"/>
  <c r="F210" i="28"/>
  <c r="C210" i="28"/>
  <c r="F209" i="28"/>
  <c r="C209" i="28"/>
  <c r="F208" i="28"/>
  <c r="C208" i="28"/>
  <c r="F207" i="28"/>
  <c r="C207" i="28"/>
  <c r="F206" i="28"/>
  <c r="C206" i="28"/>
  <c r="F205" i="28"/>
  <c r="C205" i="28"/>
  <c r="F204" i="28"/>
  <c r="C204" i="28"/>
  <c r="F203" i="28"/>
  <c r="C203" i="28"/>
  <c r="F202" i="28"/>
  <c r="C202" i="28"/>
  <c r="F201" i="28"/>
  <c r="C201" i="28"/>
  <c r="F200" i="28"/>
  <c r="C200" i="28"/>
  <c r="F199" i="28"/>
  <c r="C199" i="28"/>
  <c r="F198" i="28"/>
  <c r="C198" i="28"/>
  <c r="F197" i="28"/>
  <c r="C197" i="28"/>
  <c r="F196" i="28"/>
  <c r="C196" i="28"/>
  <c r="F195" i="28"/>
  <c r="C195" i="28"/>
  <c r="F194" i="28"/>
  <c r="C194" i="28"/>
  <c r="F193" i="28"/>
  <c r="C193" i="28"/>
  <c r="C192" i="28"/>
  <c r="F191" i="28"/>
  <c r="C191" i="28"/>
  <c r="F190" i="28"/>
  <c r="C190" i="28"/>
  <c r="F189" i="28"/>
  <c r="C189" i="28"/>
  <c r="F188" i="28"/>
  <c r="C188" i="28"/>
  <c r="F187" i="28"/>
  <c r="C187" i="28"/>
  <c r="F186" i="28"/>
  <c r="C186" i="28"/>
  <c r="F185" i="28"/>
  <c r="C185" i="28"/>
  <c r="F184" i="28"/>
  <c r="C184" i="28"/>
  <c r="F183" i="28"/>
  <c r="C183" i="28"/>
  <c r="F182" i="28"/>
  <c r="C182" i="28"/>
  <c r="F181" i="28"/>
  <c r="C181" i="28"/>
  <c r="F180" i="28"/>
  <c r="C180" i="28"/>
  <c r="F179" i="28"/>
  <c r="C179" i="28"/>
  <c r="F178" i="28"/>
  <c r="C178" i="28"/>
  <c r="F177" i="28"/>
  <c r="C177" i="28"/>
  <c r="F176" i="28"/>
  <c r="C176" i="28"/>
  <c r="F175" i="28"/>
  <c r="C175" i="28"/>
  <c r="F174" i="28"/>
  <c r="C174" i="28"/>
  <c r="F173" i="28"/>
  <c r="C173" i="28"/>
  <c r="F172" i="28"/>
  <c r="C172" i="28"/>
  <c r="F171" i="28"/>
  <c r="C171" i="28"/>
  <c r="F170" i="28"/>
  <c r="C170" i="28"/>
  <c r="F169" i="28"/>
  <c r="C169" i="28"/>
  <c r="F168" i="28"/>
  <c r="C168" i="28"/>
  <c r="F167" i="28"/>
  <c r="C167" i="28"/>
  <c r="F166" i="28"/>
  <c r="C166" i="28"/>
  <c r="F165" i="28"/>
  <c r="C165" i="28"/>
  <c r="F164" i="28"/>
  <c r="C164" i="28"/>
  <c r="F163" i="28"/>
  <c r="C163" i="28"/>
  <c r="F162" i="28"/>
  <c r="C162" i="28"/>
  <c r="F161" i="28"/>
  <c r="C161" i="28"/>
  <c r="F160" i="28"/>
  <c r="C160" i="28"/>
  <c r="F159" i="28"/>
  <c r="C159" i="28"/>
  <c r="F158" i="28"/>
  <c r="C158" i="28"/>
  <c r="F157" i="28"/>
  <c r="C157" i="28"/>
  <c r="F156" i="28"/>
  <c r="C156" i="28"/>
  <c r="F155" i="28"/>
  <c r="C155" i="28"/>
  <c r="F154" i="28"/>
  <c r="C154" i="28"/>
  <c r="F153" i="28"/>
  <c r="C153" i="28"/>
  <c r="F152" i="28"/>
  <c r="C152" i="28"/>
  <c r="F151" i="28"/>
  <c r="C151" i="28"/>
  <c r="F150" i="28"/>
  <c r="C150" i="28"/>
  <c r="F149" i="28"/>
  <c r="C149" i="28"/>
  <c r="F148" i="28"/>
  <c r="C148" i="28"/>
  <c r="F147" i="28"/>
  <c r="C147" i="28"/>
  <c r="F146" i="28"/>
  <c r="C146" i="28"/>
  <c r="F145" i="28"/>
  <c r="C145" i="28"/>
  <c r="F144" i="28"/>
  <c r="C144" i="28"/>
  <c r="F143" i="28"/>
  <c r="C143" i="28"/>
  <c r="F142" i="28"/>
  <c r="C142" i="28"/>
  <c r="F141" i="28"/>
  <c r="C141" i="28"/>
  <c r="F140" i="28"/>
  <c r="C140" i="28"/>
  <c r="F139" i="28"/>
  <c r="C139" i="28"/>
  <c r="F138" i="28"/>
  <c r="C138" i="28"/>
  <c r="F137" i="28"/>
  <c r="C137" i="28"/>
  <c r="F136" i="28"/>
  <c r="C136" i="28"/>
  <c r="F135" i="28"/>
  <c r="C135" i="28"/>
  <c r="F134" i="28"/>
  <c r="C134" i="28"/>
  <c r="F133" i="28"/>
  <c r="C133" i="28"/>
  <c r="F132" i="28"/>
  <c r="C132" i="28"/>
  <c r="F131" i="28"/>
  <c r="C131" i="28"/>
  <c r="F130" i="28"/>
  <c r="C130" i="28"/>
  <c r="F129" i="28"/>
  <c r="C129" i="28"/>
  <c r="F128" i="28"/>
  <c r="C128" i="28"/>
  <c r="F127" i="28"/>
  <c r="C127" i="28"/>
  <c r="F126" i="28"/>
  <c r="C126" i="28"/>
  <c r="F125" i="28"/>
  <c r="C125" i="28"/>
  <c r="F124" i="28"/>
  <c r="C124" i="28"/>
  <c r="F123" i="28"/>
  <c r="C123" i="28"/>
  <c r="F122" i="28"/>
  <c r="C122" i="28"/>
  <c r="F121" i="28"/>
  <c r="C121" i="28"/>
  <c r="F120" i="28"/>
  <c r="C120" i="28"/>
  <c r="F119" i="28"/>
  <c r="C119" i="28"/>
  <c r="F118" i="28"/>
  <c r="C118" i="28"/>
  <c r="F117" i="28"/>
  <c r="C117" i="28"/>
  <c r="F116" i="28"/>
  <c r="C116" i="28"/>
  <c r="F115" i="28"/>
  <c r="C115" i="28"/>
  <c r="F114" i="28"/>
  <c r="C114" i="28"/>
  <c r="F113" i="28"/>
  <c r="C113" i="28"/>
  <c r="F112" i="28"/>
  <c r="C112" i="28"/>
  <c r="F111" i="28"/>
  <c r="C111" i="28"/>
  <c r="F110" i="28"/>
  <c r="C110" i="28"/>
  <c r="F109" i="28"/>
  <c r="C109" i="28"/>
  <c r="F108" i="28"/>
  <c r="C108" i="28"/>
  <c r="F107" i="28"/>
  <c r="C107" i="28"/>
  <c r="F106" i="28"/>
  <c r="C106" i="28"/>
  <c r="F105" i="28"/>
  <c r="C105" i="28"/>
  <c r="F104" i="28"/>
  <c r="C104" i="28"/>
  <c r="F103" i="28"/>
  <c r="C103" i="28"/>
  <c r="F102" i="28"/>
  <c r="C102" i="28"/>
  <c r="F101" i="28"/>
  <c r="C101" i="28"/>
  <c r="F100" i="28"/>
  <c r="C100" i="28"/>
  <c r="F99" i="28"/>
  <c r="C99" i="28"/>
  <c r="F98" i="28"/>
  <c r="C98" i="28"/>
  <c r="F97" i="28"/>
  <c r="C97" i="28"/>
  <c r="F96" i="28"/>
  <c r="C96" i="28"/>
  <c r="F95" i="28"/>
  <c r="C95" i="28"/>
  <c r="F94" i="28"/>
  <c r="C94" i="28"/>
  <c r="F93" i="28"/>
  <c r="C93" i="28"/>
  <c r="F92" i="28"/>
  <c r="C92" i="28"/>
  <c r="F91" i="28"/>
  <c r="C91" i="28"/>
  <c r="F90" i="28"/>
  <c r="C90" i="28"/>
  <c r="F89" i="28"/>
  <c r="C89" i="28"/>
  <c r="F88" i="28"/>
  <c r="C88" i="28"/>
  <c r="F87" i="28"/>
  <c r="C87" i="28"/>
  <c r="F86" i="28"/>
  <c r="C86" i="28"/>
  <c r="F85" i="28"/>
  <c r="C85" i="28"/>
  <c r="F84" i="28"/>
  <c r="C84" i="28"/>
  <c r="F83" i="28"/>
  <c r="C83" i="28"/>
  <c r="F82" i="28"/>
  <c r="C82" i="28"/>
  <c r="F81" i="28"/>
  <c r="C81" i="28"/>
  <c r="F80" i="28"/>
  <c r="C80" i="28"/>
  <c r="F79" i="28"/>
  <c r="C79" i="28"/>
  <c r="F78" i="28"/>
  <c r="C78" i="28"/>
  <c r="F77" i="28"/>
  <c r="C77" i="28"/>
  <c r="F76" i="28"/>
  <c r="C76" i="28"/>
  <c r="F75" i="28"/>
  <c r="C75" i="28"/>
  <c r="F74" i="28"/>
  <c r="C74" i="28"/>
  <c r="F73" i="28"/>
  <c r="C73" i="28"/>
  <c r="F72" i="28"/>
  <c r="C72" i="28"/>
  <c r="F71" i="28"/>
  <c r="C71" i="28"/>
  <c r="F70" i="28"/>
  <c r="C70" i="28"/>
  <c r="F69" i="28"/>
  <c r="C69" i="28"/>
  <c r="F68" i="28"/>
  <c r="C68" i="28"/>
  <c r="F67" i="28"/>
  <c r="C67" i="28"/>
  <c r="F66" i="28"/>
  <c r="C66" i="28"/>
  <c r="F65" i="28"/>
  <c r="C65" i="28"/>
  <c r="F64" i="28"/>
  <c r="C64" i="28"/>
  <c r="F63" i="28"/>
  <c r="C63" i="28"/>
  <c r="F62" i="28"/>
  <c r="C62" i="28"/>
  <c r="F61" i="28"/>
  <c r="C61" i="28"/>
  <c r="F60" i="28"/>
  <c r="C60" i="28"/>
  <c r="F59" i="28"/>
  <c r="C59" i="28"/>
  <c r="F58" i="28"/>
  <c r="C58" i="28"/>
  <c r="F57" i="28"/>
  <c r="C57" i="28"/>
  <c r="F56" i="28"/>
  <c r="C56" i="28"/>
  <c r="F55" i="28"/>
  <c r="C55" i="28"/>
  <c r="F54" i="28"/>
  <c r="C54" i="28"/>
  <c r="F53" i="28"/>
  <c r="C53" i="28"/>
  <c r="F52" i="28"/>
  <c r="C52" i="28"/>
  <c r="F51" i="28"/>
  <c r="C51" i="28"/>
  <c r="F50" i="28"/>
  <c r="C50" i="28"/>
  <c r="F49" i="28"/>
  <c r="C49" i="28"/>
  <c r="F48" i="28"/>
  <c r="C48" i="28"/>
  <c r="F47" i="28"/>
  <c r="C47" i="28"/>
  <c r="F46" i="28"/>
  <c r="C46" i="28"/>
  <c r="F45" i="28"/>
  <c r="C45" i="28"/>
  <c r="F44" i="28"/>
  <c r="C44" i="28"/>
  <c r="F43" i="28"/>
  <c r="C43" i="28"/>
  <c r="F42" i="28"/>
  <c r="C42" i="28"/>
  <c r="F41" i="28"/>
  <c r="C41" i="28"/>
  <c r="F40" i="28"/>
  <c r="C40" i="28"/>
  <c r="F39" i="28"/>
  <c r="C39" i="28"/>
  <c r="F38" i="28"/>
  <c r="C38" i="28"/>
  <c r="F37" i="28"/>
  <c r="C37" i="28"/>
  <c r="F36" i="28"/>
  <c r="C36" i="28"/>
  <c r="F35" i="28"/>
  <c r="C35" i="28"/>
  <c r="F34" i="28"/>
  <c r="C34" i="28"/>
  <c r="F33" i="28"/>
  <c r="C33" i="28"/>
  <c r="F32" i="28"/>
  <c r="C32" i="28"/>
  <c r="F31" i="28"/>
  <c r="C31" i="28"/>
  <c r="F30" i="28"/>
  <c r="C30" i="28"/>
  <c r="F29" i="28"/>
  <c r="C29" i="28"/>
  <c r="F28" i="28"/>
  <c r="C28" i="28"/>
  <c r="F27" i="28"/>
  <c r="C27" i="28"/>
  <c r="F26" i="28"/>
  <c r="C26" i="28"/>
  <c r="F25" i="28"/>
  <c r="C25" i="28"/>
  <c r="F24" i="28"/>
  <c r="C24" i="28"/>
  <c r="F23" i="28"/>
  <c r="C23" i="28"/>
  <c r="F22" i="28"/>
  <c r="C22" i="28"/>
  <c r="F21" i="28"/>
  <c r="C21" i="28"/>
  <c r="F20" i="28"/>
  <c r="C20" i="28"/>
  <c r="F19" i="28"/>
  <c r="C19" i="28"/>
  <c r="F18" i="28"/>
  <c r="C18" i="28"/>
  <c r="F17" i="28"/>
  <c r="C17" i="28"/>
  <c r="F16" i="28"/>
  <c r="C16" i="28"/>
  <c r="F15" i="28"/>
  <c r="C15" i="28"/>
  <c r="F14" i="28"/>
  <c r="C14" i="28"/>
  <c r="F13" i="28"/>
  <c r="C13" i="28"/>
  <c r="F12" i="28"/>
  <c r="C12" i="28"/>
  <c r="F11" i="28"/>
  <c r="C11" i="28"/>
  <c r="F10" i="28"/>
  <c r="C10" i="28"/>
  <c r="F9" i="28"/>
  <c r="C9" i="28"/>
  <c r="P30" i="13"/>
  <c r="Q326" i="9"/>
  <c r="H16" i="11"/>
  <c r="F25" i="11" l="1"/>
  <c r="Z13" i="13"/>
  <c r="AB13" i="13"/>
  <c r="AE13" i="13" s="1"/>
  <c r="C314" i="28"/>
  <c r="D230" i="28" s="1"/>
  <c r="E226" i="18" s="1"/>
  <c r="G566" i="8"/>
  <c r="H566" i="8" s="1"/>
  <c r="C316" i="8"/>
  <c r="F631" i="8" s="1"/>
  <c r="F632" i="8" s="1"/>
  <c r="G352" i="8"/>
  <c r="H352" i="8" s="1"/>
  <c r="D206" i="28"/>
  <c r="E202" i="18" s="1"/>
  <c r="D212" i="28"/>
  <c r="E208" i="18" s="1"/>
  <c r="D218" i="28"/>
  <c r="E214" i="18" s="1"/>
  <c r="D224" i="28"/>
  <c r="E220" i="18" s="1"/>
  <c r="D199" i="28"/>
  <c r="E195" i="18" s="1"/>
  <c r="D291" i="28"/>
  <c r="E289" i="18" s="1"/>
  <c r="D309" i="28"/>
  <c r="E307" i="18" s="1"/>
  <c r="D196" i="28"/>
  <c r="E192" i="18" s="1"/>
  <c r="D202" i="28"/>
  <c r="E198" i="18" s="1"/>
  <c r="D262" i="28"/>
  <c r="E259" i="18" s="1"/>
  <c r="D274" i="28"/>
  <c r="E272" i="18" s="1"/>
  <c r="D26" i="28"/>
  <c r="E22" i="18" s="1"/>
  <c r="F626" i="28"/>
  <c r="F627" i="28" s="1"/>
  <c r="D102" i="28"/>
  <c r="E98" i="18" s="1"/>
  <c r="D161" i="28"/>
  <c r="E157" i="18" s="1"/>
  <c r="D157" i="28"/>
  <c r="E153" i="18" s="1"/>
  <c r="D133" i="28"/>
  <c r="E130" i="18" s="1"/>
  <c r="D49" i="28"/>
  <c r="E45" i="18" s="1"/>
  <c r="D37" i="28"/>
  <c r="E33" i="18" s="1"/>
  <c r="D21" i="28"/>
  <c r="E17" i="18" s="1"/>
  <c r="D17" i="28"/>
  <c r="E13" i="18" s="1"/>
  <c r="D13" i="28"/>
  <c r="E9" i="18" s="1"/>
  <c r="D142" i="28"/>
  <c r="E138" i="18" s="1"/>
  <c r="D156" i="28"/>
  <c r="E152" i="18" s="1"/>
  <c r="D136" i="28"/>
  <c r="E133" i="18" s="1"/>
  <c r="D120" i="28"/>
  <c r="E117" i="18" s="1"/>
  <c r="D108" i="28"/>
  <c r="E104" i="18" s="1"/>
  <c r="D52" i="28"/>
  <c r="E48" i="18" s="1"/>
  <c r="D32" i="28"/>
  <c r="E28" i="18" s="1"/>
  <c r="D34" i="28"/>
  <c r="E30" i="18" s="1"/>
  <c r="D155" i="28"/>
  <c r="E151" i="18" s="1"/>
  <c r="D115" i="28"/>
  <c r="E112" i="18" s="1"/>
  <c r="D106" i="28"/>
  <c r="E102" i="18" s="1"/>
  <c r="D94" i="28"/>
  <c r="E90" i="18" s="1"/>
  <c r="D74" i="28"/>
  <c r="E70" i="18" s="1"/>
  <c r="D87" i="28"/>
  <c r="E83" i="18" s="1"/>
  <c r="D71" i="28"/>
  <c r="E67" i="18" s="1"/>
  <c r="D27" i="28"/>
  <c r="E23" i="18" s="1"/>
  <c r="D11" i="28"/>
  <c r="E7" i="18" s="1"/>
  <c r="D154" i="28"/>
  <c r="E150" i="18" s="1"/>
  <c r="D98" i="28"/>
  <c r="E94" i="18" s="1"/>
  <c r="D282" i="28"/>
  <c r="E280" i="18" s="1"/>
  <c r="H7" i="15"/>
  <c r="AL8" i="22"/>
  <c r="R324" i="22"/>
  <c r="Q324" i="22"/>
  <c r="P324" i="22"/>
  <c r="O324" i="22"/>
  <c r="D109" i="28" l="1"/>
  <c r="E105" i="18" s="1"/>
  <c r="D107" i="28"/>
  <c r="E103" i="18" s="1"/>
  <c r="D82" i="28"/>
  <c r="E78" i="18" s="1"/>
  <c r="D258" i="28"/>
  <c r="E255" i="18" s="1"/>
  <c r="D96" i="28"/>
  <c r="E92" i="18" s="1"/>
  <c r="D175" i="28"/>
  <c r="E171" i="18" s="1"/>
  <c r="D265" i="28"/>
  <c r="E263" i="18" s="1"/>
  <c r="D276" i="28"/>
  <c r="E274" i="18" s="1"/>
  <c r="D70" i="28"/>
  <c r="E66" i="18" s="1"/>
  <c r="D172" i="28"/>
  <c r="E168" i="18" s="1"/>
  <c r="D53" i="28"/>
  <c r="E49" i="18" s="1"/>
  <c r="D237" i="28"/>
  <c r="E233" i="18" s="1"/>
  <c r="D171" i="28"/>
  <c r="E167" i="18" s="1"/>
  <c r="D114" i="28"/>
  <c r="E111" i="18" s="1"/>
  <c r="D176" i="28"/>
  <c r="E172" i="18" s="1"/>
  <c r="D61" i="28"/>
  <c r="E57" i="18" s="1"/>
  <c r="D231" i="28"/>
  <c r="E227" i="18" s="1"/>
  <c r="D246" i="28"/>
  <c r="E242" i="18" s="1"/>
  <c r="D146" i="28"/>
  <c r="E142" i="18" s="1"/>
  <c r="D24" i="28"/>
  <c r="E20" i="18" s="1"/>
  <c r="D281" i="28"/>
  <c r="E279" i="18" s="1"/>
  <c r="D289" i="28"/>
  <c r="E287" i="18" s="1"/>
  <c r="D234" i="28"/>
  <c r="E230" i="18" s="1"/>
  <c r="D179" i="28"/>
  <c r="E175" i="18" s="1"/>
  <c r="D48" i="28"/>
  <c r="E44" i="18" s="1"/>
  <c r="D113" i="28"/>
  <c r="E110" i="18" s="1"/>
  <c r="D228" i="28"/>
  <c r="E224" i="18" s="1"/>
  <c r="D183" i="28"/>
  <c r="E179" i="18" s="1"/>
  <c r="D99" i="28"/>
  <c r="E95" i="18" s="1"/>
  <c r="D84" i="28"/>
  <c r="E80" i="18" s="1"/>
  <c r="D117" i="28"/>
  <c r="E114" i="18" s="1"/>
  <c r="D227" i="28"/>
  <c r="E223" i="18" s="1"/>
  <c r="D241" i="28"/>
  <c r="E237" i="18" s="1"/>
  <c r="D51" i="28"/>
  <c r="E47" i="18" s="1"/>
  <c r="D233" i="28"/>
  <c r="E229" i="18" s="1"/>
  <c r="D204" i="28"/>
  <c r="E200" i="18" s="1"/>
  <c r="D38" i="28"/>
  <c r="E34" i="18" s="1"/>
  <c r="D122" i="28"/>
  <c r="E119" i="18" s="1"/>
  <c r="D90" i="28"/>
  <c r="E86" i="18" s="1"/>
  <c r="D121" i="28"/>
  <c r="E118" i="18" s="1"/>
  <c r="D197" i="28"/>
  <c r="E193" i="18" s="1"/>
  <c r="D205" i="28"/>
  <c r="E201" i="18" s="1"/>
  <c r="D306" i="28"/>
  <c r="E304" i="18" s="1"/>
  <c r="D55" i="28"/>
  <c r="E51" i="18" s="1"/>
  <c r="D103" i="28"/>
  <c r="E99" i="18" s="1"/>
  <c r="D76" i="28"/>
  <c r="E72" i="18" s="1"/>
  <c r="D64" i="28"/>
  <c r="E60" i="18" s="1"/>
  <c r="D129" i="28"/>
  <c r="E126" i="18" s="1"/>
  <c r="D221" i="28"/>
  <c r="E217" i="18" s="1"/>
  <c r="D247" i="28"/>
  <c r="E243" i="18" s="1"/>
  <c r="D134" i="28"/>
  <c r="E131" i="18" s="1"/>
  <c r="D298" i="28"/>
  <c r="E296" i="18" s="1"/>
  <c r="D249" i="28"/>
  <c r="E245" i="18" s="1"/>
  <c r="D235" i="28"/>
  <c r="E231" i="18" s="1"/>
  <c r="D200" i="28"/>
  <c r="E196" i="18" s="1"/>
  <c r="D68" i="28"/>
  <c r="E64" i="18" s="1"/>
  <c r="D280" i="28"/>
  <c r="E278" i="18" s="1"/>
  <c r="D243" i="28"/>
  <c r="E239" i="18" s="1"/>
  <c r="D229" i="28"/>
  <c r="E225" i="18" s="1"/>
  <c r="D144" i="28"/>
  <c r="E140" i="18" s="1"/>
  <c r="D123" i="28"/>
  <c r="E120" i="18" s="1"/>
  <c r="D75" i="28"/>
  <c r="E71" i="18" s="1"/>
  <c r="D69" i="28"/>
  <c r="E65" i="18" s="1"/>
  <c r="D269" i="28"/>
  <c r="E267" i="18" s="1"/>
  <c r="D219" i="28"/>
  <c r="E215" i="18" s="1"/>
  <c r="D46" i="28"/>
  <c r="E42" i="18" s="1"/>
  <c r="D139" i="28"/>
  <c r="E311" i="18" s="1"/>
  <c r="D79" i="28"/>
  <c r="E75" i="18" s="1"/>
  <c r="D83" i="28"/>
  <c r="E79" i="18" s="1"/>
  <c r="D148" i="28"/>
  <c r="E144" i="18" s="1"/>
  <c r="D118" i="28"/>
  <c r="E115" i="18" s="1"/>
  <c r="D73" i="28"/>
  <c r="E69" i="18" s="1"/>
  <c r="D181" i="28"/>
  <c r="E177" i="18" s="1"/>
  <c r="D245" i="28"/>
  <c r="E241" i="18" s="1"/>
  <c r="D214" i="28"/>
  <c r="E210" i="18" s="1"/>
  <c r="D201" i="28"/>
  <c r="E197" i="18" s="1"/>
  <c r="D290" i="28"/>
  <c r="E288" i="18" s="1"/>
  <c r="D198" i="28"/>
  <c r="E194" i="18" s="1"/>
  <c r="D111" i="28"/>
  <c r="E108" i="18" s="1"/>
  <c r="D138" i="28"/>
  <c r="E135" i="18" s="1"/>
  <c r="D63" i="28"/>
  <c r="E59" i="18" s="1"/>
  <c r="D140" i="28"/>
  <c r="E136" i="18" s="1"/>
  <c r="D16" i="28"/>
  <c r="E12" i="18" s="1"/>
  <c r="D65" i="28"/>
  <c r="E61" i="18" s="1"/>
  <c r="D165" i="28"/>
  <c r="E161" i="18" s="1"/>
  <c r="D275" i="28"/>
  <c r="E273" i="18" s="1"/>
  <c r="D256" i="28"/>
  <c r="E253" i="18" s="1"/>
  <c r="D225" i="28"/>
  <c r="E221" i="18" s="1"/>
  <c r="D193" i="28"/>
  <c r="E189" i="18" s="1"/>
  <c r="D18" i="28"/>
  <c r="E14" i="18" s="1"/>
  <c r="D23" i="28"/>
  <c r="E19" i="18" s="1"/>
  <c r="D36" i="28"/>
  <c r="E32" i="18" s="1"/>
  <c r="D177" i="28"/>
  <c r="E173" i="18" s="1"/>
  <c r="D220" i="28"/>
  <c r="E216" i="18" s="1"/>
  <c r="D296" i="28"/>
  <c r="E294" i="18" s="1"/>
  <c r="D312" i="28"/>
  <c r="E310" i="18" s="1"/>
  <c r="D86" i="28"/>
  <c r="E82" i="18" s="1"/>
  <c r="D167" i="28"/>
  <c r="E163" i="18" s="1"/>
  <c r="D91" i="28"/>
  <c r="E87" i="18" s="1"/>
  <c r="D95" i="28"/>
  <c r="E91" i="18" s="1"/>
  <c r="D152" i="28"/>
  <c r="E148" i="18" s="1"/>
  <c r="D166" i="28"/>
  <c r="E162" i="18" s="1"/>
  <c r="D105" i="28"/>
  <c r="E101" i="18" s="1"/>
  <c r="D50" i="28"/>
  <c r="E46" i="18" s="1"/>
  <c r="D239" i="28"/>
  <c r="E235" i="18" s="1"/>
  <c r="D208" i="28"/>
  <c r="E204" i="18" s="1"/>
  <c r="D195" i="28"/>
  <c r="E191" i="18" s="1"/>
  <c r="D260" i="28"/>
  <c r="E257" i="18" s="1"/>
  <c r="D270" i="28"/>
  <c r="E268" i="18" s="1"/>
  <c r="D110" i="28"/>
  <c r="E106" i="18" s="1"/>
  <c r="D143" i="28"/>
  <c r="E139" i="18" s="1"/>
  <c r="D158" i="28"/>
  <c r="E154" i="18" s="1"/>
  <c r="D31" i="28"/>
  <c r="E27" i="18" s="1"/>
  <c r="D80" i="28"/>
  <c r="E76" i="18" s="1"/>
  <c r="D192" i="28"/>
  <c r="E188" i="18" s="1"/>
  <c r="D88" i="28"/>
  <c r="E84" i="18" s="1"/>
  <c r="D77" i="28"/>
  <c r="E73" i="18" s="1"/>
  <c r="D169" i="28"/>
  <c r="E165" i="18" s="1"/>
  <c r="D311" i="28"/>
  <c r="E309" i="18" s="1"/>
  <c r="D292" i="28"/>
  <c r="E290" i="18" s="1"/>
  <c r="D303" i="28"/>
  <c r="E301" i="18" s="1"/>
  <c r="D283" i="28"/>
  <c r="E281" i="18" s="1"/>
  <c r="D284" i="28"/>
  <c r="E282" i="18" s="1"/>
  <c r="D264" i="28"/>
  <c r="E262" i="18" s="1"/>
  <c r="D130" i="28"/>
  <c r="E127" i="18" s="1"/>
  <c r="D151" i="28"/>
  <c r="E147" i="18" s="1"/>
  <c r="D15" i="28"/>
  <c r="E11" i="18" s="1"/>
  <c r="D39" i="28"/>
  <c r="E35" i="18" s="1"/>
  <c r="D92" i="28"/>
  <c r="E88" i="18" s="1"/>
  <c r="D22" i="28"/>
  <c r="E18" i="18" s="1"/>
  <c r="D9" i="28"/>
  <c r="E5" i="18" s="1"/>
  <c r="D101" i="28"/>
  <c r="E97" i="18" s="1"/>
  <c r="D173" i="28"/>
  <c r="E169" i="18" s="1"/>
  <c r="D305" i="28"/>
  <c r="E303" i="18" s="1"/>
  <c r="D286" i="28"/>
  <c r="E284" i="18" s="1"/>
  <c r="D297" i="28"/>
  <c r="E295" i="18" s="1"/>
  <c r="D277" i="28"/>
  <c r="E275" i="18" s="1"/>
  <c r="D272" i="28"/>
  <c r="E270" i="18" s="1"/>
  <c r="D240" i="28"/>
  <c r="E236" i="18" s="1"/>
  <c r="D126" i="28"/>
  <c r="E123" i="18" s="1"/>
  <c r="D163" i="28"/>
  <c r="E159" i="18" s="1"/>
  <c r="D178" i="28"/>
  <c r="E174" i="18" s="1"/>
  <c r="D19" i="28"/>
  <c r="E15" i="18" s="1"/>
  <c r="D72" i="28"/>
  <c r="E68" i="18" s="1"/>
  <c r="D168" i="28"/>
  <c r="E164" i="18" s="1"/>
  <c r="D78" i="28"/>
  <c r="E74" i="18" s="1"/>
  <c r="D57" i="28"/>
  <c r="E53" i="18" s="1"/>
  <c r="D125" i="28"/>
  <c r="E122" i="18" s="1"/>
  <c r="D100" i="28"/>
  <c r="E96" i="18" s="1"/>
  <c r="D251" i="28"/>
  <c r="E248" i="18" s="1"/>
  <c r="D268" i="28"/>
  <c r="E266" i="18" s="1"/>
  <c r="D255" i="28"/>
  <c r="E252" i="18" s="1"/>
  <c r="D271" i="28"/>
  <c r="E269" i="18" s="1"/>
  <c r="D278" i="28"/>
  <c r="E276" i="18" s="1"/>
  <c r="D300" i="28"/>
  <c r="E298" i="18" s="1"/>
  <c r="D222" i="28"/>
  <c r="E218" i="18" s="1"/>
  <c r="D170" i="28"/>
  <c r="E166" i="18" s="1"/>
  <c r="D127" i="28"/>
  <c r="E124" i="18" s="1"/>
  <c r="D187" i="28"/>
  <c r="E183" i="18" s="1"/>
  <c r="D35" i="28"/>
  <c r="E31" i="18" s="1"/>
  <c r="D162" i="28"/>
  <c r="E158" i="18" s="1"/>
  <c r="D119" i="28"/>
  <c r="E116" i="18" s="1"/>
  <c r="D124" i="28"/>
  <c r="E121" i="18" s="1"/>
  <c r="D180" i="28"/>
  <c r="E176" i="18" s="1"/>
  <c r="D60" i="28"/>
  <c r="E56" i="18" s="1"/>
  <c r="D25" i="28"/>
  <c r="E21" i="18" s="1"/>
  <c r="D81" i="28"/>
  <c r="E77" i="18" s="1"/>
  <c r="D145" i="28"/>
  <c r="E141" i="18" s="1"/>
  <c r="D150" i="28"/>
  <c r="E146" i="18" s="1"/>
  <c r="D299" i="28"/>
  <c r="E297" i="18" s="1"/>
  <c r="D215" i="28"/>
  <c r="E211" i="18" s="1"/>
  <c r="D250" i="28"/>
  <c r="E247" i="18" s="1"/>
  <c r="D273" i="28"/>
  <c r="E271" i="18" s="1"/>
  <c r="D307" i="28"/>
  <c r="E305" i="18" s="1"/>
  <c r="D223" i="28"/>
  <c r="E219" i="18" s="1"/>
  <c r="D254" i="28"/>
  <c r="E251" i="18" s="1"/>
  <c r="D294" i="28"/>
  <c r="E292" i="18" s="1"/>
  <c r="D216" i="28"/>
  <c r="E212" i="18" s="1"/>
  <c r="D186" i="28"/>
  <c r="E182" i="18" s="1"/>
  <c r="D131" i="28"/>
  <c r="E128" i="18" s="1"/>
  <c r="D191" i="28"/>
  <c r="E187" i="18" s="1"/>
  <c r="D47" i="28"/>
  <c r="E43" i="18" s="1"/>
  <c r="D174" i="28"/>
  <c r="E170" i="18" s="1"/>
  <c r="D10" i="28"/>
  <c r="E6" i="18" s="1"/>
  <c r="D128" i="28"/>
  <c r="E125" i="18" s="1"/>
  <c r="D184" i="28"/>
  <c r="E180" i="18" s="1"/>
  <c r="D104" i="28"/>
  <c r="E100" i="18" s="1"/>
  <c r="D29" i="28"/>
  <c r="E25" i="18" s="1"/>
  <c r="D85" i="28"/>
  <c r="E81" i="18" s="1"/>
  <c r="D149" i="28"/>
  <c r="E145" i="18" s="1"/>
  <c r="D28" i="28"/>
  <c r="E24" i="18" s="1"/>
  <c r="D293" i="28"/>
  <c r="E291" i="18" s="1"/>
  <c r="D209" i="28"/>
  <c r="E205" i="18" s="1"/>
  <c r="D244" i="28"/>
  <c r="E240" i="18" s="1"/>
  <c r="D267" i="28"/>
  <c r="E265" i="18" s="1"/>
  <c r="D301" i="28"/>
  <c r="E299" i="18" s="1"/>
  <c r="D217" i="28"/>
  <c r="E213" i="18" s="1"/>
  <c r="D248" i="28"/>
  <c r="E244" i="18" s="1"/>
  <c r="D288" i="28"/>
  <c r="E286" i="18" s="1"/>
  <c r="D210" i="28"/>
  <c r="E206" i="18" s="1"/>
  <c r="D54" i="28"/>
  <c r="E50" i="18" s="1"/>
  <c r="D135" i="28"/>
  <c r="E132" i="18" s="1"/>
  <c r="D14" i="28"/>
  <c r="E10" i="18" s="1"/>
  <c r="D59" i="28"/>
  <c r="E55" i="18" s="1"/>
  <c r="D190" i="28"/>
  <c r="E186" i="18" s="1"/>
  <c r="D62" i="28"/>
  <c r="E58" i="18" s="1"/>
  <c r="D132" i="28"/>
  <c r="E129" i="18" s="1"/>
  <c r="D188" i="28"/>
  <c r="E184" i="18" s="1"/>
  <c r="D30" i="28"/>
  <c r="E26" i="18" s="1"/>
  <c r="D33" i="28"/>
  <c r="E29" i="18" s="1"/>
  <c r="D97" i="28"/>
  <c r="E93" i="18" s="1"/>
  <c r="D153" i="28"/>
  <c r="E149" i="18" s="1"/>
  <c r="D56" i="28"/>
  <c r="E52" i="18" s="1"/>
  <c r="D287" i="28"/>
  <c r="E285" i="18" s="1"/>
  <c r="D203" i="28"/>
  <c r="E199" i="18" s="1"/>
  <c r="D226" i="28"/>
  <c r="E222" i="18" s="1"/>
  <c r="D261" i="28"/>
  <c r="E258" i="18" s="1"/>
  <c r="D295" i="28"/>
  <c r="E293" i="18" s="1"/>
  <c r="D211" i="28"/>
  <c r="E207" i="18" s="1"/>
  <c r="D242" i="28"/>
  <c r="E238" i="18" s="1"/>
  <c r="D266" i="28"/>
  <c r="E264" i="18" s="1"/>
  <c r="D194" i="28"/>
  <c r="E190" i="18" s="1"/>
  <c r="D112" i="28"/>
  <c r="E109" i="18" s="1"/>
  <c r="D160" i="28"/>
  <c r="E156" i="18" s="1"/>
  <c r="D12" i="28"/>
  <c r="E8" i="18" s="1"/>
  <c r="D41" i="28"/>
  <c r="E37" i="18" s="1"/>
  <c r="D89" i="28"/>
  <c r="E85" i="18" s="1"/>
  <c r="D137" i="28"/>
  <c r="E134" i="18" s="1"/>
  <c r="D185" i="28"/>
  <c r="E181" i="18" s="1"/>
  <c r="D20" i="28"/>
  <c r="E16" i="18" s="1"/>
  <c r="D263" i="28"/>
  <c r="E260" i="18" s="1"/>
  <c r="D310" i="28"/>
  <c r="E308" i="18" s="1"/>
  <c r="D238" i="28"/>
  <c r="E234" i="18" s="1"/>
  <c r="D285" i="28"/>
  <c r="E283" i="18" s="1"/>
  <c r="D213" i="28"/>
  <c r="E209" i="18" s="1"/>
  <c r="D259" i="28"/>
  <c r="E256" i="18" s="1"/>
  <c r="D308" i="28"/>
  <c r="E306" i="18" s="1"/>
  <c r="D236" i="28"/>
  <c r="E232" i="18" s="1"/>
  <c r="D252" i="28"/>
  <c r="E249" i="18" s="1"/>
  <c r="D66" i="28"/>
  <c r="E62" i="18" s="1"/>
  <c r="D43" i="28"/>
  <c r="E39" i="18" s="1"/>
  <c r="D147" i="28"/>
  <c r="E143" i="18" s="1"/>
  <c r="D58" i="28"/>
  <c r="E54" i="18" s="1"/>
  <c r="D67" i="28"/>
  <c r="E63" i="18" s="1"/>
  <c r="D182" i="28"/>
  <c r="E178" i="18" s="1"/>
  <c r="D159" i="28"/>
  <c r="E155" i="18" s="1"/>
  <c r="D116" i="28"/>
  <c r="E113" i="18" s="1"/>
  <c r="D164" i="28"/>
  <c r="E160" i="18" s="1"/>
  <c r="D42" i="28"/>
  <c r="E38" i="18" s="1"/>
  <c r="D40" i="28"/>
  <c r="E36" i="18" s="1"/>
  <c r="D45" i="28"/>
  <c r="E41" i="18" s="1"/>
  <c r="D93" i="28"/>
  <c r="E89" i="18" s="1"/>
  <c r="D141" i="28"/>
  <c r="E137" i="18" s="1"/>
  <c r="D189" i="28"/>
  <c r="E185" i="18" s="1"/>
  <c r="D44" i="28"/>
  <c r="E40" i="18" s="1"/>
  <c r="D257" i="28"/>
  <c r="E254" i="18" s="1"/>
  <c r="D304" i="28"/>
  <c r="E302" i="18" s="1"/>
  <c r="D232" i="28"/>
  <c r="E228" i="18" s="1"/>
  <c r="D279" i="28"/>
  <c r="E277" i="18" s="1"/>
  <c r="D207" i="28"/>
  <c r="E203" i="18" s="1"/>
  <c r="D253" i="28"/>
  <c r="E250" i="18" s="1"/>
  <c r="D302" i="28"/>
  <c r="E300" i="18" s="1"/>
  <c r="U317" i="10"/>
  <c r="U324" i="10"/>
  <c r="U323" i="10"/>
  <c r="U322" i="10"/>
  <c r="U321" i="10"/>
  <c r="U320" i="10"/>
  <c r="U319" i="10"/>
  <c r="U318" i="10"/>
  <c r="D250" i="8"/>
  <c r="C246" i="18" s="1"/>
  <c r="D314" i="28" l="1"/>
  <c r="C249" i="3"/>
  <c r="E249" i="29"/>
  <c r="D249" i="29"/>
  <c r="C249" i="29"/>
  <c r="K251" i="10"/>
  <c r="N251" i="10"/>
  <c r="O251" i="10"/>
  <c r="E249" i="3"/>
  <c r="D249" i="3"/>
  <c r="L251" i="10"/>
  <c r="M251" i="10"/>
  <c r="O251" i="9"/>
  <c r="J251" i="9"/>
  <c r="F251" i="9"/>
  <c r="D251" i="9"/>
  <c r="C251" i="9"/>
  <c r="AC18" i="13" l="1"/>
  <c r="Z35" i="13"/>
  <c r="AB18" i="13"/>
  <c r="J16" i="11"/>
  <c r="J18" i="11" s="1"/>
  <c r="Y6" i="13"/>
  <c r="Z6" i="13" s="1"/>
  <c r="Y34" i="13"/>
  <c r="Y35" i="13"/>
  <c r="P12" i="13"/>
  <c r="AE12" i="13" s="1"/>
  <c r="P36" i="13"/>
  <c r="H12" i="11"/>
  <c r="F10" i="15"/>
  <c r="F7" i="15"/>
  <c r="I7" i="15" s="1"/>
  <c r="D16" i="26"/>
  <c r="D7" i="26"/>
  <c r="AE36" i="13" l="1"/>
  <c r="K251" i="9"/>
  <c r="E251" i="9"/>
  <c r="AE31" i="13"/>
  <c r="AC38" i="13"/>
  <c r="AA38" i="13"/>
  <c r="AB38" i="13"/>
  <c r="R13" i="13"/>
  <c r="Z38" i="13"/>
  <c r="P11" i="13"/>
  <c r="AE11" i="13" s="1"/>
  <c r="P35" i="13"/>
  <c r="L38" i="13"/>
  <c r="J38" i="13"/>
  <c r="P29" i="13"/>
  <c r="N38" i="13" l="1"/>
  <c r="AE30" i="13"/>
  <c r="K217" i="3" l="1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5" i="3"/>
  <c r="K196" i="3"/>
  <c r="K326" i="3"/>
  <c r="K156" i="3"/>
  <c r="K157" i="3"/>
  <c r="K158" i="3"/>
  <c r="K159" i="3"/>
  <c r="K160" i="3"/>
  <c r="K161" i="3"/>
  <c r="K162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09" i="3"/>
  <c r="K111" i="3"/>
  <c r="K112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9" i="3"/>
  <c r="K10" i="3"/>
  <c r="K11" i="3"/>
  <c r="K12" i="3"/>
  <c r="K13" i="3"/>
  <c r="K14" i="3"/>
  <c r="K15" i="3"/>
  <c r="K8" i="3"/>
  <c r="F312" i="8" l="1"/>
  <c r="G318" i="18" l="1"/>
  <c r="G311" i="18" s="1"/>
  <c r="H311" i="18" s="1"/>
  <c r="L311" i="18" l="1"/>
  <c r="M311" i="18" s="1"/>
  <c r="N311" i="18" s="1"/>
  <c r="O311" i="18" s="1"/>
  <c r="AD314" i="22"/>
  <c r="I311" i="18"/>
  <c r="D111" i="8"/>
  <c r="C107" i="18" s="1"/>
  <c r="D265" i="8"/>
  <c r="C261" i="18" s="1"/>
  <c r="D192" i="8"/>
  <c r="C188" i="18" s="1"/>
  <c r="D307" i="8"/>
  <c r="C303" i="18" s="1"/>
  <c r="D295" i="8"/>
  <c r="C291" i="18" s="1"/>
  <c r="D283" i="8"/>
  <c r="C279" i="18" s="1"/>
  <c r="D271" i="8"/>
  <c r="C267" i="18" s="1"/>
  <c r="D258" i="8"/>
  <c r="C254" i="18" s="1"/>
  <c r="D245" i="8"/>
  <c r="C241" i="18" s="1"/>
  <c r="D233" i="8"/>
  <c r="C229" i="18" s="1"/>
  <c r="D221" i="8"/>
  <c r="C217" i="18" s="1"/>
  <c r="D209" i="8"/>
  <c r="C205" i="18" s="1"/>
  <c r="D197" i="8"/>
  <c r="C193" i="18" s="1"/>
  <c r="D184" i="8"/>
  <c r="C180" i="18" s="1"/>
  <c r="D172" i="8"/>
  <c r="C168" i="18" s="1"/>
  <c r="D160" i="8"/>
  <c r="C156" i="18" s="1"/>
  <c r="D148" i="8"/>
  <c r="C144" i="18" s="1"/>
  <c r="D137" i="8"/>
  <c r="C133" i="18" s="1"/>
  <c r="D125" i="8"/>
  <c r="C121" i="18" s="1"/>
  <c r="D113" i="8"/>
  <c r="C109" i="18" s="1"/>
  <c r="D100" i="8"/>
  <c r="C96" i="18" s="1"/>
  <c r="D88" i="8"/>
  <c r="C84" i="18" s="1"/>
  <c r="D76" i="8"/>
  <c r="C72" i="18" s="1"/>
  <c r="D64" i="8"/>
  <c r="C60" i="18" s="1"/>
  <c r="D52" i="8"/>
  <c r="C48" i="18" s="1"/>
  <c r="D40" i="8"/>
  <c r="D28" i="8"/>
  <c r="C24" i="18" s="1"/>
  <c r="D16" i="8"/>
  <c r="C12" i="18" s="1"/>
  <c r="D306" i="8"/>
  <c r="C302" i="18" s="1"/>
  <c r="D294" i="8"/>
  <c r="C290" i="18" s="1"/>
  <c r="D282" i="8"/>
  <c r="C278" i="18" s="1"/>
  <c r="D270" i="8"/>
  <c r="C266" i="18" s="1"/>
  <c r="D257" i="8"/>
  <c r="C253" i="18" s="1"/>
  <c r="D244" i="8"/>
  <c r="C240" i="18" s="1"/>
  <c r="D232" i="8"/>
  <c r="C228" i="18" s="1"/>
  <c r="D220" i="8"/>
  <c r="C216" i="18" s="1"/>
  <c r="D208" i="8"/>
  <c r="C204" i="18" s="1"/>
  <c r="D196" i="8"/>
  <c r="C192" i="18" s="1"/>
  <c r="D183" i="8"/>
  <c r="C179" i="18" s="1"/>
  <c r="D171" i="8"/>
  <c r="C167" i="18" s="1"/>
  <c r="D159" i="8"/>
  <c r="C155" i="18" s="1"/>
  <c r="D147" i="8"/>
  <c r="C143" i="18" s="1"/>
  <c r="D136" i="8"/>
  <c r="C132" i="18" s="1"/>
  <c r="D124" i="8"/>
  <c r="C120" i="18" s="1"/>
  <c r="D112" i="8"/>
  <c r="C108" i="18" s="1"/>
  <c r="D99" i="8"/>
  <c r="C95" i="18" s="1"/>
  <c r="D87" i="8"/>
  <c r="C83" i="18" s="1"/>
  <c r="D75" i="8"/>
  <c r="C71" i="18" s="1"/>
  <c r="D63" i="8"/>
  <c r="C59" i="18" s="1"/>
  <c r="D304" i="8"/>
  <c r="C300" i="18" s="1"/>
  <c r="D292" i="8"/>
  <c r="C288" i="18" s="1"/>
  <c r="D280" i="8"/>
  <c r="C276" i="18" s="1"/>
  <c r="D268" i="8"/>
  <c r="C264" i="18" s="1"/>
  <c r="D255" i="8"/>
  <c r="C251" i="18" s="1"/>
  <c r="D242" i="8"/>
  <c r="C238" i="18" s="1"/>
  <c r="D230" i="8"/>
  <c r="C226" i="18" s="1"/>
  <c r="D218" i="8"/>
  <c r="C214" i="18" s="1"/>
  <c r="D206" i="8"/>
  <c r="C202" i="18" s="1"/>
  <c r="D194" i="8"/>
  <c r="C190" i="18" s="1"/>
  <c r="D181" i="8"/>
  <c r="C177" i="18" s="1"/>
  <c r="D169" i="8"/>
  <c r="C165" i="18" s="1"/>
  <c r="D157" i="8"/>
  <c r="C153" i="18" s="1"/>
  <c r="D145" i="8"/>
  <c r="C141" i="18" s="1"/>
  <c r="D134" i="8"/>
  <c r="C130" i="18" s="1"/>
  <c r="D122" i="8"/>
  <c r="C118" i="18" s="1"/>
  <c r="D109" i="8"/>
  <c r="C105" i="18" s="1"/>
  <c r="D97" i="8"/>
  <c r="C93" i="18" s="1"/>
  <c r="D85" i="8"/>
  <c r="C81" i="18" s="1"/>
  <c r="D73" i="8"/>
  <c r="C69" i="18" s="1"/>
  <c r="D61" i="8"/>
  <c r="C57" i="18" s="1"/>
  <c r="D49" i="8"/>
  <c r="C45" i="18" s="1"/>
  <c r="D37" i="8"/>
  <c r="C33" i="18" s="1"/>
  <c r="D25" i="8"/>
  <c r="C21" i="18" s="1"/>
  <c r="D13" i="8"/>
  <c r="C9" i="18" s="1"/>
  <c r="D303" i="8"/>
  <c r="C299" i="18" s="1"/>
  <c r="D291" i="8"/>
  <c r="C287" i="18" s="1"/>
  <c r="D279" i="8"/>
  <c r="C275" i="18" s="1"/>
  <c r="D267" i="8"/>
  <c r="C263" i="18" s="1"/>
  <c r="D254" i="8"/>
  <c r="C250" i="18" s="1"/>
  <c r="D241" i="8"/>
  <c r="C237" i="18" s="1"/>
  <c r="D229" i="8"/>
  <c r="C225" i="18" s="1"/>
  <c r="D217" i="8"/>
  <c r="C213" i="18" s="1"/>
  <c r="D205" i="8"/>
  <c r="C201" i="18" s="1"/>
  <c r="D193" i="8"/>
  <c r="C189" i="18" s="1"/>
  <c r="D180" i="8"/>
  <c r="C176" i="18" s="1"/>
  <c r="D168" i="8"/>
  <c r="C164" i="18" s="1"/>
  <c r="D156" i="8"/>
  <c r="C152" i="18" s="1"/>
  <c r="D144" i="8"/>
  <c r="C140" i="18" s="1"/>
  <c r="D133" i="8"/>
  <c r="C129" i="18" s="1"/>
  <c r="D121" i="8"/>
  <c r="C117" i="18" s="1"/>
  <c r="D108" i="8"/>
  <c r="C104" i="18" s="1"/>
  <c r="D96" i="8"/>
  <c r="C92" i="18" s="1"/>
  <c r="D84" i="8"/>
  <c r="C80" i="18" s="1"/>
  <c r="D72" i="8"/>
  <c r="C68" i="18" s="1"/>
  <c r="D60" i="8"/>
  <c r="C56" i="18" s="1"/>
  <c r="D48" i="8"/>
  <c r="C44" i="18" s="1"/>
  <c r="D36" i="8"/>
  <c r="D24" i="8"/>
  <c r="C20" i="18" s="1"/>
  <c r="D12" i="8"/>
  <c r="C8" i="18" s="1"/>
  <c r="D314" i="8"/>
  <c r="C310" i="18" s="1"/>
  <c r="D302" i="8"/>
  <c r="C298" i="18" s="1"/>
  <c r="D290" i="8"/>
  <c r="C286" i="18" s="1"/>
  <c r="D278" i="8"/>
  <c r="C274" i="18" s="1"/>
  <c r="D266" i="8"/>
  <c r="C262" i="18" s="1"/>
  <c r="D253" i="8"/>
  <c r="C249" i="18" s="1"/>
  <c r="D240" i="8"/>
  <c r="C236" i="18" s="1"/>
  <c r="D228" i="8"/>
  <c r="C224" i="18" s="1"/>
  <c r="D216" i="8"/>
  <c r="C212" i="18" s="1"/>
  <c r="D204" i="8"/>
  <c r="C200" i="18" s="1"/>
  <c r="D191" i="8"/>
  <c r="C187" i="18" s="1"/>
  <c r="D179" i="8"/>
  <c r="C175" i="18" s="1"/>
  <c r="D167" i="8"/>
  <c r="C163" i="18" s="1"/>
  <c r="D155" i="8"/>
  <c r="C151" i="18" s="1"/>
  <c r="D143" i="8"/>
  <c r="C139" i="18" s="1"/>
  <c r="D132" i="8"/>
  <c r="C128" i="18" s="1"/>
  <c r="D120" i="8"/>
  <c r="C116" i="18" s="1"/>
  <c r="D107" i="8"/>
  <c r="C103" i="18" s="1"/>
  <c r="D95" i="8"/>
  <c r="C91" i="18" s="1"/>
  <c r="D83" i="8"/>
  <c r="C79" i="18" s="1"/>
  <c r="D71" i="8"/>
  <c r="C67" i="18" s="1"/>
  <c r="D59" i="8"/>
  <c r="C55" i="18" s="1"/>
  <c r="D47" i="8"/>
  <c r="D35" i="8"/>
  <c r="D23" i="8"/>
  <c r="C19" i="18" s="1"/>
  <c r="D11" i="8"/>
  <c r="C7" i="18" s="1"/>
  <c r="D313" i="8"/>
  <c r="D301" i="8"/>
  <c r="C297" i="18" s="1"/>
  <c r="D289" i="8"/>
  <c r="C285" i="18" s="1"/>
  <c r="D277" i="8"/>
  <c r="C273" i="18" s="1"/>
  <c r="D264" i="8"/>
  <c r="C260" i="18" s="1"/>
  <c r="D252" i="8"/>
  <c r="C248" i="18" s="1"/>
  <c r="D239" i="8"/>
  <c r="C235" i="18" s="1"/>
  <c r="D312" i="8"/>
  <c r="C308" i="18" s="1"/>
  <c r="D288" i="8"/>
  <c r="C284" i="18" s="1"/>
  <c r="D263" i="8"/>
  <c r="C259" i="18" s="1"/>
  <c r="D238" i="8"/>
  <c r="C234" i="18" s="1"/>
  <c r="D219" i="8"/>
  <c r="C215" i="18" s="1"/>
  <c r="D199" i="8"/>
  <c r="C195" i="18" s="1"/>
  <c r="D176" i="8"/>
  <c r="C172" i="18" s="1"/>
  <c r="D154" i="8"/>
  <c r="C150" i="18" s="1"/>
  <c r="D138" i="8"/>
  <c r="C134" i="18" s="1"/>
  <c r="D116" i="8"/>
  <c r="C112" i="18" s="1"/>
  <c r="D93" i="8"/>
  <c r="C89" i="18" s="1"/>
  <c r="D74" i="8"/>
  <c r="C70" i="18" s="1"/>
  <c r="D54" i="8"/>
  <c r="C50" i="18" s="1"/>
  <c r="D34" i="8"/>
  <c r="D18" i="8"/>
  <c r="C14" i="18" s="1"/>
  <c r="D311" i="8"/>
  <c r="C307" i="18" s="1"/>
  <c r="D287" i="8"/>
  <c r="C283" i="18" s="1"/>
  <c r="D262" i="8"/>
  <c r="C258" i="18" s="1"/>
  <c r="D237" i="8"/>
  <c r="C233" i="18" s="1"/>
  <c r="D215" i="8"/>
  <c r="C211" i="18" s="1"/>
  <c r="D198" i="8"/>
  <c r="C194" i="18" s="1"/>
  <c r="D175" i="8"/>
  <c r="C171" i="18" s="1"/>
  <c r="D153" i="8"/>
  <c r="C149" i="18" s="1"/>
  <c r="D135" i="8"/>
  <c r="C131" i="18" s="1"/>
  <c r="D115" i="8"/>
  <c r="C111" i="18" s="1"/>
  <c r="D92" i="8"/>
  <c r="C88" i="18" s="1"/>
  <c r="D70" i="8"/>
  <c r="C66" i="18" s="1"/>
  <c r="D53" i="8"/>
  <c r="C49" i="18" s="1"/>
  <c r="D33" i="8"/>
  <c r="D17" i="8"/>
  <c r="D310" i="8"/>
  <c r="C306" i="18" s="1"/>
  <c r="D286" i="8"/>
  <c r="C282" i="18" s="1"/>
  <c r="D261" i="8"/>
  <c r="C257" i="18" s="1"/>
  <c r="D236" i="8"/>
  <c r="C232" i="18" s="1"/>
  <c r="D214" i="8"/>
  <c r="C210" i="18" s="1"/>
  <c r="D195" i="8"/>
  <c r="C191" i="18" s="1"/>
  <c r="D174" i="8"/>
  <c r="C170" i="18" s="1"/>
  <c r="D152" i="8"/>
  <c r="C148" i="18" s="1"/>
  <c r="D131" i="8"/>
  <c r="C127" i="18" s="1"/>
  <c r="D114" i="8"/>
  <c r="C110" i="18" s="1"/>
  <c r="D91" i="8"/>
  <c r="C87" i="18" s="1"/>
  <c r="D69" i="8"/>
  <c r="C65" i="18" s="1"/>
  <c r="D51" i="8"/>
  <c r="C47" i="18" s="1"/>
  <c r="D32" i="8"/>
  <c r="C28" i="18" s="1"/>
  <c r="D15" i="8"/>
  <c r="C11" i="18" s="1"/>
  <c r="D309" i="8"/>
  <c r="C305" i="18" s="1"/>
  <c r="D285" i="8"/>
  <c r="C281" i="18" s="1"/>
  <c r="D260" i="8"/>
  <c r="C256" i="18" s="1"/>
  <c r="D235" i="8"/>
  <c r="C231" i="18" s="1"/>
  <c r="D213" i="8"/>
  <c r="C209" i="18" s="1"/>
  <c r="D190" i="8"/>
  <c r="C186" i="18" s="1"/>
  <c r="D173" i="8"/>
  <c r="C169" i="18" s="1"/>
  <c r="D151" i="8"/>
  <c r="C147" i="18" s="1"/>
  <c r="D130" i="8"/>
  <c r="C126" i="18" s="1"/>
  <c r="D110" i="8"/>
  <c r="C106" i="18" s="1"/>
  <c r="D90" i="8"/>
  <c r="C86" i="18" s="1"/>
  <c r="D68" i="8"/>
  <c r="C64" i="18" s="1"/>
  <c r="D50" i="8"/>
  <c r="C46" i="18" s="1"/>
  <c r="D31" i="8"/>
  <c r="C27" i="18" s="1"/>
  <c r="D14" i="8"/>
  <c r="D308" i="8"/>
  <c r="C304" i="18" s="1"/>
  <c r="D284" i="8"/>
  <c r="C280" i="18" s="1"/>
  <c r="D259" i="8"/>
  <c r="C255" i="18" s="1"/>
  <c r="D234" i="8"/>
  <c r="C230" i="18" s="1"/>
  <c r="D212" i="8"/>
  <c r="C208" i="18" s="1"/>
  <c r="D189" i="8"/>
  <c r="C185" i="18" s="1"/>
  <c r="D170" i="8"/>
  <c r="C166" i="18" s="1"/>
  <c r="D150" i="8"/>
  <c r="C146" i="18" s="1"/>
  <c r="D129" i="8"/>
  <c r="C125" i="18" s="1"/>
  <c r="D106" i="8"/>
  <c r="C102" i="18" s="1"/>
  <c r="D89" i="8"/>
  <c r="C85" i="18" s="1"/>
  <c r="D67" i="8"/>
  <c r="C63" i="18" s="1"/>
  <c r="D46" i="8"/>
  <c r="C42" i="18" s="1"/>
  <c r="D30" i="8"/>
  <c r="D10" i="8"/>
  <c r="D305" i="8"/>
  <c r="C301" i="18" s="1"/>
  <c r="D281" i="8"/>
  <c r="C277" i="18" s="1"/>
  <c r="D256" i="8"/>
  <c r="C252" i="18" s="1"/>
  <c r="D231" i="8"/>
  <c r="C227" i="18" s="1"/>
  <c r="D211" i="8"/>
  <c r="C207" i="18" s="1"/>
  <c r="D188" i="8"/>
  <c r="C184" i="18" s="1"/>
  <c r="D166" i="8"/>
  <c r="C162" i="18" s="1"/>
  <c r="D149" i="8"/>
  <c r="C145" i="18" s="1"/>
  <c r="D128" i="8"/>
  <c r="C124" i="18" s="1"/>
  <c r="D105" i="8"/>
  <c r="C101" i="18" s="1"/>
  <c r="D86" i="8"/>
  <c r="C82" i="18" s="1"/>
  <c r="D66" i="8"/>
  <c r="C62" i="18" s="1"/>
  <c r="D45" i="8"/>
  <c r="C41" i="18" s="1"/>
  <c r="D29" i="8"/>
  <c r="C25" i="18" s="1"/>
  <c r="D9" i="8"/>
  <c r="D300" i="8"/>
  <c r="C296" i="18" s="1"/>
  <c r="D276" i="8"/>
  <c r="C272" i="18" s="1"/>
  <c r="D251" i="8"/>
  <c r="C247" i="18" s="1"/>
  <c r="D227" i="8"/>
  <c r="C223" i="18" s="1"/>
  <c r="D210" i="8"/>
  <c r="C206" i="18" s="1"/>
  <c r="D187" i="8"/>
  <c r="C183" i="18" s="1"/>
  <c r="D165" i="8"/>
  <c r="C161" i="18" s="1"/>
  <c r="D146" i="8"/>
  <c r="C142" i="18" s="1"/>
  <c r="D127" i="8"/>
  <c r="C123" i="18" s="1"/>
  <c r="D104" i="8"/>
  <c r="C100" i="18" s="1"/>
  <c r="D82" i="8"/>
  <c r="C78" i="18" s="1"/>
  <c r="D65" i="8"/>
  <c r="C61" i="18" s="1"/>
  <c r="D44" i="8"/>
  <c r="C40" i="18" s="1"/>
  <c r="D27" i="8"/>
  <c r="D299" i="8"/>
  <c r="C295" i="18" s="1"/>
  <c r="D275" i="8"/>
  <c r="C271" i="18" s="1"/>
  <c r="D249" i="8"/>
  <c r="C245" i="18" s="1"/>
  <c r="D226" i="8"/>
  <c r="C222" i="18" s="1"/>
  <c r="D207" i="8"/>
  <c r="C203" i="18" s="1"/>
  <c r="D186" i="8"/>
  <c r="C182" i="18" s="1"/>
  <c r="D164" i="8"/>
  <c r="C160" i="18" s="1"/>
  <c r="D142" i="8"/>
  <c r="C138" i="18" s="1"/>
  <c r="D126" i="8"/>
  <c r="C122" i="18" s="1"/>
  <c r="D103" i="8"/>
  <c r="C99" i="18" s="1"/>
  <c r="D81" i="8"/>
  <c r="C77" i="18" s="1"/>
  <c r="D62" i="8"/>
  <c r="C58" i="18" s="1"/>
  <c r="D43" i="8"/>
  <c r="D26" i="8"/>
  <c r="C22" i="18" s="1"/>
  <c r="D298" i="8"/>
  <c r="C294" i="18" s="1"/>
  <c r="D274" i="8"/>
  <c r="C270" i="18" s="1"/>
  <c r="D248" i="8"/>
  <c r="C244" i="18" s="1"/>
  <c r="D225" i="8"/>
  <c r="C221" i="18" s="1"/>
  <c r="D203" i="8"/>
  <c r="C199" i="18" s="1"/>
  <c r="D185" i="8"/>
  <c r="C181" i="18" s="1"/>
  <c r="D163" i="8"/>
  <c r="C159" i="18" s="1"/>
  <c r="D141" i="8"/>
  <c r="D123" i="8"/>
  <c r="C119" i="18" s="1"/>
  <c r="D102" i="8"/>
  <c r="C98" i="18" s="1"/>
  <c r="D80" i="8"/>
  <c r="C76" i="18" s="1"/>
  <c r="D58" i="8"/>
  <c r="C54" i="18" s="1"/>
  <c r="D42" i="8"/>
  <c r="C38" i="18" s="1"/>
  <c r="D22" i="8"/>
  <c r="C18" i="18" s="1"/>
  <c r="D297" i="8"/>
  <c r="C293" i="18" s="1"/>
  <c r="D273" i="8"/>
  <c r="C269" i="18" s="1"/>
  <c r="D247" i="8"/>
  <c r="C243" i="18" s="1"/>
  <c r="D224" i="8"/>
  <c r="C220" i="18" s="1"/>
  <c r="D202" i="8"/>
  <c r="C198" i="18" s="1"/>
  <c r="D182" i="8"/>
  <c r="C178" i="18" s="1"/>
  <c r="D162" i="8"/>
  <c r="C158" i="18" s="1"/>
  <c r="D140" i="8"/>
  <c r="C136" i="18" s="1"/>
  <c r="D119" i="8"/>
  <c r="C115" i="18" s="1"/>
  <c r="D101" i="8"/>
  <c r="C97" i="18" s="1"/>
  <c r="D79" i="8"/>
  <c r="C75" i="18" s="1"/>
  <c r="D57" i="8"/>
  <c r="C53" i="18" s="1"/>
  <c r="D41" i="8"/>
  <c r="D21" i="8"/>
  <c r="D296" i="8"/>
  <c r="C292" i="18" s="1"/>
  <c r="D272" i="8"/>
  <c r="C268" i="18" s="1"/>
  <c r="D246" i="8"/>
  <c r="C242" i="18" s="1"/>
  <c r="D223" i="8"/>
  <c r="C219" i="18" s="1"/>
  <c r="D201" i="8"/>
  <c r="C197" i="18" s="1"/>
  <c r="D178" i="8"/>
  <c r="C174" i="18" s="1"/>
  <c r="D161" i="8"/>
  <c r="C157" i="18" s="1"/>
  <c r="D118" i="8"/>
  <c r="C114" i="18" s="1"/>
  <c r="D98" i="8"/>
  <c r="C94" i="18" s="1"/>
  <c r="D78" i="8"/>
  <c r="C74" i="18" s="1"/>
  <c r="D56" i="8"/>
  <c r="C52" i="18" s="1"/>
  <c r="D39" i="8"/>
  <c r="C35" i="18" s="1"/>
  <c r="D20" i="8"/>
  <c r="C16" i="18" s="1"/>
  <c r="D293" i="8"/>
  <c r="C289" i="18" s="1"/>
  <c r="D269" i="8"/>
  <c r="C265" i="18" s="1"/>
  <c r="D243" i="8"/>
  <c r="C239" i="18" s="1"/>
  <c r="D222" i="8"/>
  <c r="C218" i="18" s="1"/>
  <c r="D200" i="8"/>
  <c r="C196" i="18" s="1"/>
  <c r="D177" i="8"/>
  <c r="C173" i="18" s="1"/>
  <c r="D158" i="8"/>
  <c r="C154" i="18" s="1"/>
  <c r="D139" i="8"/>
  <c r="C135" i="18" s="1"/>
  <c r="D117" i="8"/>
  <c r="C113" i="18" s="1"/>
  <c r="D77" i="8"/>
  <c r="C73" i="18" s="1"/>
  <c r="D55" i="8"/>
  <c r="C51" i="18" s="1"/>
  <c r="D38" i="8"/>
  <c r="D19" i="8"/>
  <c r="C15" i="18" s="1"/>
  <c r="D94" i="8"/>
  <c r="C90" i="18" s="1"/>
  <c r="C137" i="18" l="1"/>
  <c r="E20" i="30"/>
  <c r="E114" i="30" s="1"/>
  <c r="E119" i="30" s="1"/>
  <c r="P311" i="18"/>
  <c r="C23" i="18"/>
  <c r="O28" i="10"/>
  <c r="E8" i="3"/>
  <c r="C8" i="3"/>
  <c r="E10" i="9"/>
  <c r="D8" i="3"/>
  <c r="K10" i="10"/>
  <c r="K10" i="9"/>
  <c r="O10" i="9"/>
  <c r="J10" i="9"/>
  <c r="F10" i="9"/>
  <c r="D10" i="9"/>
  <c r="C10" i="9"/>
  <c r="O10" i="10"/>
  <c r="E8" i="29"/>
  <c r="N10" i="10"/>
  <c r="C8" i="29"/>
  <c r="L10" i="10"/>
  <c r="D8" i="29"/>
  <c r="C13" i="18"/>
  <c r="L18" i="10"/>
  <c r="C309" i="18"/>
  <c r="K314" i="10"/>
  <c r="C29" i="18"/>
  <c r="O34" i="10"/>
  <c r="C31" i="18"/>
  <c r="L36" i="10"/>
  <c r="C17" i="18"/>
  <c r="L22" i="10"/>
  <c r="C26" i="18"/>
  <c r="O31" i="10"/>
  <c r="O35" i="10"/>
  <c r="C30" i="18"/>
  <c r="N48" i="10"/>
  <c r="C43" i="18"/>
  <c r="C36" i="18"/>
  <c r="L41" i="10"/>
  <c r="L37" i="10"/>
  <c r="C32" i="18"/>
  <c r="O44" i="10"/>
  <c r="N44" i="10"/>
  <c r="C39" i="18"/>
  <c r="N39" i="10"/>
  <c r="O39" i="10"/>
  <c r="C34" i="18"/>
  <c r="M11" i="10"/>
  <c r="L11" i="10"/>
  <c r="C6" i="18"/>
  <c r="C37" i="18"/>
  <c r="O42" i="10"/>
  <c r="L15" i="10"/>
  <c r="C10" i="18"/>
  <c r="D314" i="22"/>
  <c r="AN314" i="22" s="1"/>
  <c r="E314" i="22"/>
  <c r="AO314" i="22" s="1"/>
  <c r="F314" i="22"/>
  <c r="AP314" i="22" s="1"/>
  <c r="C314" i="22"/>
  <c r="AM314" i="22" s="1"/>
  <c r="E116" i="29"/>
  <c r="D116" i="29"/>
  <c r="C116" i="29"/>
  <c r="E56" i="29"/>
  <c r="D56" i="29"/>
  <c r="C56" i="29"/>
  <c r="E21" i="29"/>
  <c r="D21" i="29"/>
  <c r="C21" i="29"/>
  <c r="E273" i="29"/>
  <c r="D273" i="29"/>
  <c r="C273" i="29"/>
  <c r="E225" i="29"/>
  <c r="C225" i="29"/>
  <c r="D225" i="29"/>
  <c r="E186" i="29"/>
  <c r="D186" i="29"/>
  <c r="C186" i="29"/>
  <c r="D127" i="29"/>
  <c r="C127" i="29"/>
  <c r="E127" i="29"/>
  <c r="E66" i="29"/>
  <c r="D66" i="29"/>
  <c r="C66" i="29"/>
  <c r="E13" i="29"/>
  <c r="D13" i="29"/>
  <c r="C13" i="29"/>
  <c r="E259" i="29"/>
  <c r="D259" i="29"/>
  <c r="C259" i="29"/>
  <c r="D193" i="29"/>
  <c r="C193" i="29"/>
  <c r="E193" i="29"/>
  <c r="E134" i="29"/>
  <c r="D134" i="29"/>
  <c r="C134" i="29"/>
  <c r="E73" i="29"/>
  <c r="D73" i="29"/>
  <c r="C73" i="29"/>
  <c r="E238" i="29"/>
  <c r="D238" i="29"/>
  <c r="C238" i="29"/>
  <c r="E70" i="29"/>
  <c r="D70" i="29"/>
  <c r="C70" i="29"/>
  <c r="E215" i="29"/>
  <c r="D215" i="29"/>
  <c r="C215" i="29"/>
  <c r="E47" i="29"/>
  <c r="D47" i="29"/>
  <c r="C47" i="29"/>
  <c r="E191" i="29"/>
  <c r="D191" i="29"/>
  <c r="C191" i="29"/>
  <c r="E36" i="29"/>
  <c r="D36" i="29"/>
  <c r="C36" i="29"/>
  <c r="E180" i="29"/>
  <c r="D180" i="29"/>
  <c r="C180" i="29"/>
  <c r="E74" i="29"/>
  <c r="D74" i="29"/>
  <c r="C74" i="29"/>
  <c r="E219" i="29"/>
  <c r="C219" i="29"/>
  <c r="D219" i="29"/>
  <c r="E63" i="29"/>
  <c r="D63" i="29"/>
  <c r="C63" i="29"/>
  <c r="E208" i="29"/>
  <c r="D208" i="29"/>
  <c r="C208" i="29"/>
  <c r="D148" i="29"/>
  <c r="C148" i="29"/>
  <c r="E148" i="29"/>
  <c r="E152" i="29"/>
  <c r="D152" i="29"/>
  <c r="C152" i="29"/>
  <c r="E92" i="29"/>
  <c r="D92" i="29"/>
  <c r="C92" i="29"/>
  <c r="E251" i="29"/>
  <c r="D251" i="29"/>
  <c r="C251" i="29"/>
  <c r="E82" i="29"/>
  <c r="D82" i="29"/>
  <c r="C82" i="29"/>
  <c r="E227" i="29"/>
  <c r="D227" i="29"/>
  <c r="C227" i="29"/>
  <c r="E59" i="29"/>
  <c r="D59" i="29"/>
  <c r="C59" i="29"/>
  <c r="E204" i="29"/>
  <c r="C204" i="29"/>
  <c r="D204" i="29"/>
  <c r="E48" i="29"/>
  <c r="D48" i="29"/>
  <c r="C48" i="29"/>
  <c r="E192" i="29"/>
  <c r="D192" i="29"/>
  <c r="C192" i="29"/>
  <c r="E86" i="29"/>
  <c r="D86" i="29"/>
  <c r="C86" i="29"/>
  <c r="E231" i="29"/>
  <c r="D231" i="29"/>
  <c r="C231" i="29"/>
  <c r="E75" i="29"/>
  <c r="D75" i="29"/>
  <c r="C75" i="29"/>
  <c r="E220" i="29"/>
  <c r="D220" i="29"/>
  <c r="C220" i="29"/>
  <c r="E77" i="29"/>
  <c r="D77" i="29"/>
  <c r="C77" i="29"/>
  <c r="C100" i="29"/>
  <c r="E100" i="29"/>
  <c r="D100" i="29"/>
  <c r="E226" i="29"/>
  <c r="D226" i="29"/>
  <c r="C226" i="29"/>
  <c r="E164" i="29"/>
  <c r="D164" i="29"/>
  <c r="C164" i="29"/>
  <c r="E105" i="29"/>
  <c r="D105" i="29"/>
  <c r="C105" i="29"/>
  <c r="E49" i="29"/>
  <c r="D49" i="29"/>
  <c r="C49" i="29"/>
  <c r="C308" i="29"/>
  <c r="E308" i="29"/>
  <c r="D308" i="29"/>
  <c r="E235" i="29"/>
  <c r="D235" i="29"/>
  <c r="C235" i="29"/>
  <c r="E174" i="29"/>
  <c r="C174" i="29"/>
  <c r="D174" i="29"/>
  <c r="D115" i="29"/>
  <c r="C115" i="29"/>
  <c r="E115" i="29"/>
  <c r="E263" i="29"/>
  <c r="D263" i="29"/>
  <c r="C263" i="29"/>
  <c r="C94" i="29"/>
  <c r="E94" i="29"/>
  <c r="D94" i="29"/>
  <c r="E239" i="29"/>
  <c r="D239" i="29"/>
  <c r="C239" i="29"/>
  <c r="E71" i="29"/>
  <c r="D71" i="29"/>
  <c r="C71" i="29"/>
  <c r="E216" i="29"/>
  <c r="C216" i="29"/>
  <c r="D216" i="29"/>
  <c r="E60" i="29"/>
  <c r="D60" i="29"/>
  <c r="C60" i="29"/>
  <c r="E205" i="29"/>
  <c r="D205" i="29"/>
  <c r="C205" i="29"/>
  <c r="E98" i="29"/>
  <c r="D98" i="29"/>
  <c r="C98" i="29"/>
  <c r="E243" i="29"/>
  <c r="D243" i="29"/>
  <c r="C243" i="29"/>
  <c r="E87" i="29"/>
  <c r="D87" i="29"/>
  <c r="C87" i="29"/>
  <c r="E232" i="29"/>
  <c r="D232" i="29"/>
  <c r="C232" i="29"/>
  <c r="C97" i="29"/>
  <c r="E97" i="29"/>
  <c r="D97" i="29"/>
  <c r="E298" i="29"/>
  <c r="D298" i="29"/>
  <c r="C298" i="29"/>
  <c r="E260" i="29"/>
  <c r="D260" i="29"/>
  <c r="C260" i="29"/>
  <c r="E197" i="29"/>
  <c r="D197" i="29"/>
  <c r="C197" i="29"/>
  <c r="E137" i="29"/>
  <c r="D137" i="29"/>
  <c r="C137" i="29"/>
  <c r="E276" i="29"/>
  <c r="D276" i="29"/>
  <c r="C276" i="29"/>
  <c r="C106" i="29"/>
  <c r="E106" i="29"/>
  <c r="D106" i="29"/>
  <c r="E252" i="29"/>
  <c r="D252" i="29"/>
  <c r="C252" i="29"/>
  <c r="E83" i="29"/>
  <c r="D83" i="29"/>
  <c r="C83" i="29"/>
  <c r="E228" i="29"/>
  <c r="D228" i="29"/>
  <c r="C228" i="29"/>
  <c r="E72" i="29"/>
  <c r="D72" i="29"/>
  <c r="C72" i="29"/>
  <c r="E217" i="29"/>
  <c r="D217" i="29"/>
  <c r="C217" i="29"/>
  <c r="E111" i="29"/>
  <c r="D111" i="29"/>
  <c r="C111" i="29"/>
  <c r="E256" i="29"/>
  <c r="D256" i="29"/>
  <c r="C256" i="29"/>
  <c r="E99" i="29"/>
  <c r="D99" i="29"/>
  <c r="C99" i="29"/>
  <c r="E244" i="29"/>
  <c r="D244" i="29"/>
  <c r="C244" i="29"/>
  <c r="E41" i="29"/>
  <c r="D41" i="29"/>
  <c r="C41" i="29"/>
  <c r="E25" i="29"/>
  <c r="D25" i="29"/>
  <c r="C25" i="29"/>
  <c r="C275" i="29"/>
  <c r="E275" i="29"/>
  <c r="D275" i="29"/>
  <c r="E153" i="29"/>
  <c r="D153" i="29"/>
  <c r="C153" i="29"/>
  <c r="E288" i="29"/>
  <c r="D288" i="29"/>
  <c r="C288" i="29"/>
  <c r="E119" i="29"/>
  <c r="D119" i="29"/>
  <c r="C119" i="29"/>
  <c r="E265" i="29"/>
  <c r="D265" i="29"/>
  <c r="C265" i="29"/>
  <c r="E95" i="29"/>
  <c r="D95" i="29"/>
  <c r="C95" i="29"/>
  <c r="E240" i="29"/>
  <c r="D240" i="29"/>
  <c r="C240" i="29"/>
  <c r="E84" i="29"/>
  <c r="D84" i="29"/>
  <c r="C84" i="29"/>
  <c r="E229" i="29"/>
  <c r="D229" i="29"/>
  <c r="C229" i="29"/>
  <c r="E123" i="29"/>
  <c r="D123" i="29"/>
  <c r="C123" i="29"/>
  <c r="C269" i="29"/>
  <c r="E269" i="29"/>
  <c r="D269" i="29"/>
  <c r="D112" i="29"/>
  <c r="C112" i="29"/>
  <c r="E112" i="29"/>
  <c r="E257" i="29"/>
  <c r="D257" i="29"/>
  <c r="C257" i="29"/>
  <c r="E248" i="29"/>
  <c r="D248" i="29"/>
  <c r="C248" i="29"/>
  <c r="E57" i="29"/>
  <c r="D57" i="29"/>
  <c r="C57" i="29"/>
  <c r="E176" i="29"/>
  <c r="D176" i="29"/>
  <c r="C176" i="29"/>
  <c r="E250" i="29"/>
  <c r="D250" i="29"/>
  <c r="C250" i="29"/>
  <c r="E61" i="29"/>
  <c r="D61" i="29"/>
  <c r="C61" i="29"/>
  <c r="E230" i="29"/>
  <c r="D230" i="29"/>
  <c r="C230" i="29"/>
  <c r="E309" i="29"/>
  <c r="D309" i="29"/>
  <c r="C309" i="29"/>
  <c r="D175" i="29"/>
  <c r="C175" i="29"/>
  <c r="E175" i="29"/>
  <c r="E300" i="29"/>
  <c r="D300" i="29"/>
  <c r="C300" i="29"/>
  <c r="E131" i="29"/>
  <c r="D131" i="29"/>
  <c r="C131" i="29"/>
  <c r="E277" i="29"/>
  <c r="D277" i="29"/>
  <c r="C277" i="29"/>
  <c r="E107" i="29"/>
  <c r="D107" i="29"/>
  <c r="C107" i="29"/>
  <c r="E253" i="29"/>
  <c r="D253" i="29"/>
  <c r="C253" i="29"/>
  <c r="D96" i="29"/>
  <c r="C96" i="29"/>
  <c r="E96" i="29"/>
  <c r="E241" i="29"/>
  <c r="D241" i="29"/>
  <c r="C241" i="29"/>
  <c r="E135" i="29"/>
  <c r="D135" i="29"/>
  <c r="C135" i="29"/>
  <c r="C281" i="29"/>
  <c r="E281" i="29"/>
  <c r="D281" i="29"/>
  <c r="D124" i="29"/>
  <c r="C124" i="29"/>
  <c r="E124" i="29"/>
  <c r="E270" i="29"/>
  <c r="D270" i="29"/>
  <c r="C270" i="29"/>
  <c r="E138" i="29"/>
  <c r="C138" i="29"/>
  <c r="D138" i="29"/>
  <c r="E30" i="29"/>
  <c r="D30" i="29"/>
  <c r="C30" i="29"/>
  <c r="E117" i="29"/>
  <c r="D117" i="29"/>
  <c r="C117" i="29"/>
  <c r="E42" i="29"/>
  <c r="D42" i="29"/>
  <c r="C42" i="29"/>
  <c r="E214" i="29"/>
  <c r="D214" i="29"/>
  <c r="C214" i="29"/>
  <c r="E161" i="29"/>
  <c r="D161" i="29"/>
  <c r="C161" i="29"/>
  <c r="E43" i="29"/>
  <c r="D43" i="29"/>
  <c r="C43" i="29"/>
  <c r="D181" i="29"/>
  <c r="C181" i="29"/>
  <c r="E181" i="29"/>
  <c r="E64" i="29"/>
  <c r="D64" i="29"/>
  <c r="C64" i="29"/>
  <c r="E255" i="29"/>
  <c r="D255" i="29"/>
  <c r="C255" i="29"/>
  <c r="E188" i="29"/>
  <c r="D188" i="29"/>
  <c r="C188" i="29"/>
  <c r="E129" i="29"/>
  <c r="D129" i="29"/>
  <c r="C129" i="29"/>
  <c r="E68" i="29"/>
  <c r="D68" i="29"/>
  <c r="C68" i="29"/>
  <c r="E16" i="29"/>
  <c r="D16" i="29"/>
  <c r="C16" i="29"/>
  <c r="E261" i="29"/>
  <c r="D261" i="29"/>
  <c r="C261" i="29"/>
  <c r="E198" i="29"/>
  <c r="C198" i="29"/>
  <c r="D198" i="29"/>
  <c r="E312" i="29"/>
  <c r="D312" i="29"/>
  <c r="C312" i="29"/>
  <c r="D142" i="29"/>
  <c r="C142" i="29"/>
  <c r="E142" i="29"/>
  <c r="E289" i="29"/>
  <c r="D289" i="29"/>
  <c r="C289" i="29"/>
  <c r="C120" i="29"/>
  <c r="E120" i="29"/>
  <c r="D120" i="29"/>
  <c r="C266" i="29"/>
  <c r="E266" i="29"/>
  <c r="D266" i="29"/>
  <c r="C109" i="29"/>
  <c r="E109" i="29"/>
  <c r="D109" i="29"/>
  <c r="E254" i="29"/>
  <c r="D254" i="29"/>
  <c r="C254" i="29"/>
  <c r="E146" i="29"/>
  <c r="D146" i="29"/>
  <c r="C146" i="29"/>
  <c r="C293" i="29"/>
  <c r="E293" i="29"/>
  <c r="D293" i="29"/>
  <c r="D136" i="29"/>
  <c r="C136" i="29"/>
  <c r="E136" i="29"/>
  <c r="E282" i="29"/>
  <c r="D282" i="29"/>
  <c r="C282" i="29"/>
  <c r="E78" i="29"/>
  <c r="D78" i="29"/>
  <c r="C78" i="29"/>
  <c r="C88" i="29"/>
  <c r="E88" i="29"/>
  <c r="D88" i="29"/>
  <c r="D118" i="29"/>
  <c r="C118" i="29"/>
  <c r="E118" i="29"/>
  <c r="E128" i="29"/>
  <c r="D128" i="29"/>
  <c r="C128" i="29"/>
  <c r="D139" i="29"/>
  <c r="C139" i="29"/>
  <c r="E139" i="29"/>
  <c r="E89" i="29"/>
  <c r="D89" i="29"/>
  <c r="C89" i="29"/>
  <c r="E236" i="29"/>
  <c r="D236" i="29"/>
  <c r="C236" i="29"/>
  <c r="E201" i="29"/>
  <c r="C201" i="29"/>
  <c r="D201" i="29"/>
  <c r="E125" i="29"/>
  <c r="D125" i="29"/>
  <c r="C125" i="29"/>
  <c r="E81" i="29"/>
  <c r="D81" i="29"/>
  <c r="C81" i="29"/>
  <c r="E28" i="29"/>
  <c r="D28" i="29"/>
  <c r="C28" i="29"/>
  <c r="E280" i="29"/>
  <c r="D280" i="29"/>
  <c r="C280" i="29"/>
  <c r="E211" i="29"/>
  <c r="D211" i="29"/>
  <c r="C211" i="29"/>
  <c r="E150" i="29"/>
  <c r="D150" i="29"/>
  <c r="C150" i="29"/>
  <c r="E90" i="29"/>
  <c r="D90" i="29"/>
  <c r="C90" i="29"/>
  <c r="E32" i="29"/>
  <c r="D32" i="29"/>
  <c r="C32" i="29"/>
  <c r="E286" i="29"/>
  <c r="D286" i="29"/>
  <c r="C286" i="29"/>
  <c r="E218" i="29"/>
  <c r="D218" i="29"/>
  <c r="C218" i="29"/>
  <c r="E10" i="29"/>
  <c r="D10" i="29"/>
  <c r="C10" i="29"/>
  <c r="D154" i="29"/>
  <c r="C154" i="29"/>
  <c r="E154" i="29"/>
  <c r="E301" i="29"/>
  <c r="D301" i="29"/>
  <c r="C301" i="29"/>
  <c r="C132" i="29"/>
  <c r="E132" i="29"/>
  <c r="D132" i="29"/>
  <c r="C278" i="29"/>
  <c r="E278" i="29"/>
  <c r="D278" i="29"/>
  <c r="D121" i="29"/>
  <c r="C121" i="29"/>
  <c r="E121" i="29"/>
  <c r="E267" i="29"/>
  <c r="D267" i="29"/>
  <c r="C267" i="29"/>
  <c r="E158" i="29"/>
  <c r="D158" i="29"/>
  <c r="C158" i="29"/>
  <c r="C305" i="29"/>
  <c r="E305" i="29"/>
  <c r="D305" i="29"/>
  <c r="E147" i="29"/>
  <c r="D147" i="29"/>
  <c r="C147" i="29"/>
  <c r="E294" i="29"/>
  <c r="D294" i="29"/>
  <c r="C294" i="29"/>
  <c r="E209" i="29"/>
  <c r="D209" i="29"/>
  <c r="C209" i="29"/>
  <c r="D160" i="29"/>
  <c r="C160" i="29"/>
  <c r="E160" i="29"/>
  <c r="E14" i="29"/>
  <c r="D14" i="29"/>
  <c r="C14" i="29"/>
  <c r="E26" i="29"/>
  <c r="D26" i="29"/>
  <c r="C26" i="29"/>
  <c r="E31" i="29"/>
  <c r="D31" i="29"/>
  <c r="C31" i="29"/>
  <c r="E122" i="29"/>
  <c r="D122" i="29"/>
  <c r="C122" i="29"/>
  <c r="E50" i="29"/>
  <c r="D50" i="29"/>
  <c r="C50" i="29"/>
  <c r="E242" i="29"/>
  <c r="D242" i="29"/>
  <c r="C242" i="29"/>
  <c r="E93" i="29"/>
  <c r="D93" i="29"/>
  <c r="C93" i="29"/>
  <c r="E271" i="29"/>
  <c r="D271" i="29"/>
  <c r="C271" i="29"/>
  <c r="D184" i="29"/>
  <c r="C184" i="29"/>
  <c r="E184" i="29"/>
  <c r="E141" i="29"/>
  <c r="D141" i="29"/>
  <c r="C141" i="29"/>
  <c r="C103" i="29"/>
  <c r="E103" i="29"/>
  <c r="D103" i="29"/>
  <c r="E44" i="29"/>
  <c r="D44" i="29"/>
  <c r="C44" i="29"/>
  <c r="E304" i="29"/>
  <c r="D304" i="29"/>
  <c r="C304" i="29"/>
  <c r="E233" i="29"/>
  <c r="D233" i="29"/>
  <c r="C233" i="29"/>
  <c r="D172" i="29"/>
  <c r="C172" i="29"/>
  <c r="E172" i="29"/>
  <c r="E113" i="29"/>
  <c r="D113" i="29"/>
  <c r="C113" i="29"/>
  <c r="E52" i="29"/>
  <c r="D52" i="29"/>
  <c r="C52" i="29"/>
  <c r="E310" i="29"/>
  <c r="D310" i="29"/>
  <c r="C310" i="29"/>
  <c r="E237" i="29"/>
  <c r="D237" i="29"/>
  <c r="C237" i="29"/>
  <c r="E22" i="29"/>
  <c r="D22" i="29"/>
  <c r="C22" i="29"/>
  <c r="D166" i="29"/>
  <c r="C166" i="29"/>
  <c r="E166" i="29"/>
  <c r="E313" i="29"/>
  <c r="D313" i="29"/>
  <c r="C313" i="29"/>
  <c r="E143" i="29"/>
  <c r="D143" i="29"/>
  <c r="C143" i="29"/>
  <c r="C290" i="29"/>
  <c r="E290" i="29"/>
  <c r="D290" i="29"/>
  <c r="D133" i="29"/>
  <c r="C133" i="29"/>
  <c r="E133" i="29"/>
  <c r="E279" i="29"/>
  <c r="D279" i="29"/>
  <c r="C279" i="29"/>
  <c r="E170" i="29"/>
  <c r="D170" i="29"/>
  <c r="C170" i="29"/>
  <c r="C15" i="29"/>
  <c r="E15" i="29"/>
  <c r="D15" i="29"/>
  <c r="E159" i="29"/>
  <c r="D159" i="29"/>
  <c r="C159" i="29"/>
  <c r="E306" i="29"/>
  <c r="D306" i="29"/>
  <c r="C306" i="29"/>
  <c r="E213" i="29"/>
  <c r="C213" i="29"/>
  <c r="D213" i="29"/>
  <c r="E67" i="29"/>
  <c r="D67" i="29"/>
  <c r="C67" i="29"/>
  <c r="E101" i="29"/>
  <c r="D101" i="29"/>
  <c r="C101" i="29"/>
  <c r="E149" i="29"/>
  <c r="D149" i="29"/>
  <c r="C149" i="29"/>
  <c r="E80" i="29"/>
  <c r="D80" i="29"/>
  <c r="C80" i="29"/>
  <c r="E108" i="29"/>
  <c r="D108" i="29"/>
  <c r="C108" i="29"/>
  <c r="E222" i="29"/>
  <c r="C222" i="29"/>
  <c r="D222" i="29"/>
  <c r="E245" i="29"/>
  <c r="D245" i="29"/>
  <c r="C245" i="29"/>
  <c r="E19" i="29"/>
  <c r="D19" i="29"/>
  <c r="C19" i="29"/>
  <c r="C126" i="29"/>
  <c r="E126" i="29"/>
  <c r="D126" i="29"/>
  <c r="E258" i="29"/>
  <c r="D258" i="29"/>
  <c r="C258" i="29"/>
  <c r="D130" i="29"/>
  <c r="C130" i="29"/>
  <c r="E130" i="29"/>
  <c r="E69" i="29"/>
  <c r="D69" i="29"/>
  <c r="C69" i="29"/>
  <c r="E17" i="29"/>
  <c r="D17" i="29"/>
  <c r="C17" i="29"/>
  <c r="E34" i="29"/>
  <c r="D34" i="29"/>
  <c r="C34" i="29"/>
  <c r="D178" i="29"/>
  <c r="C178" i="29"/>
  <c r="E178" i="29"/>
  <c r="E11" i="29"/>
  <c r="D11" i="29"/>
  <c r="C11" i="29"/>
  <c r="E155" i="29"/>
  <c r="D155" i="29"/>
  <c r="C155" i="29"/>
  <c r="C302" i="29"/>
  <c r="E302" i="29"/>
  <c r="D302" i="29"/>
  <c r="E144" i="29"/>
  <c r="D144" i="29"/>
  <c r="C144" i="29"/>
  <c r="E291" i="29"/>
  <c r="D291" i="29"/>
  <c r="C291" i="29"/>
  <c r="E182" i="29"/>
  <c r="D182" i="29"/>
  <c r="C182" i="29"/>
  <c r="E27" i="29"/>
  <c r="D27" i="29"/>
  <c r="C27" i="29"/>
  <c r="E171" i="29"/>
  <c r="D171" i="29"/>
  <c r="C171" i="29"/>
  <c r="E194" i="29"/>
  <c r="D194" i="29"/>
  <c r="C194" i="29"/>
  <c r="E297" i="29"/>
  <c r="D297" i="29"/>
  <c r="C297" i="29"/>
  <c r="E274" i="29"/>
  <c r="D274" i="29"/>
  <c r="C274" i="29"/>
  <c r="E199" i="29"/>
  <c r="D199" i="29"/>
  <c r="C199" i="29"/>
  <c r="E285" i="29"/>
  <c r="D285" i="29"/>
  <c r="C285" i="29"/>
  <c r="E200" i="29"/>
  <c r="D200" i="29"/>
  <c r="C200" i="29"/>
  <c r="C299" i="29"/>
  <c r="E299" i="29"/>
  <c r="D299" i="29"/>
  <c r="E102" i="29"/>
  <c r="D102" i="29"/>
  <c r="C102" i="29"/>
  <c r="E268" i="29"/>
  <c r="D268" i="29"/>
  <c r="C268" i="29"/>
  <c r="E18" i="29"/>
  <c r="D18" i="29"/>
  <c r="C18" i="29"/>
  <c r="E223" i="29"/>
  <c r="D223" i="29"/>
  <c r="C223" i="29"/>
  <c r="E37" i="29"/>
  <c r="D37" i="29"/>
  <c r="C37" i="29"/>
  <c r="E295" i="29"/>
  <c r="D295" i="29"/>
  <c r="C295" i="29"/>
  <c r="E202" i="29"/>
  <c r="D202" i="29"/>
  <c r="C202" i="29"/>
  <c r="D163" i="29"/>
  <c r="C163" i="29"/>
  <c r="E163" i="29"/>
  <c r="E65" i="29"/>
  <c r="D65" i="29"/>
  <c r="C65" i="29"/>
  <c r="E189" i="29"/>
  <c r="D189" i="29"/>
  <c r="C189" i="29"/>
  <c r="E54" i="29"/>
  <c r="D54" i="29"/>
  <c r="C54" i="29"/>
  <c r="E212" i="29"/>
  <c r="D212" i="29"/>
  <c r="C212" i="29"/>
  <c r="E12" i="29"/>
  <c r="D12" i="29"/>
  <c r="C12" i="29"/>
  <c r="E195" i="29"/>
  <c r="C195" i="29"/>
  <c r="D195" i="29"/>
  <c r="E183" i="29"/>
  <c r="D183" i="29"/>
  <c r="C183" i="29"/>
  <c r="F266" i="9"/>
  <c r="E264" i="29"/>
  <c r="D264" i="29"/>
  <c r="C264" i="29"/>
  <c r="L266" i="10"/>
  <c r="M266" i="10"/>
  <c r="D264" i="3"/>
  <c r="C266" i="9"/>
  <c r="C264" i="3"/>
  <c r="D266" i="9"/>
  <c r="K266" i="10"/>
  <c r="J266" i="9"/>
  <c r="N266" i="10"/>
  <c r="O266" i="10"/>
  <c r="O266" i="9"/>
  <c r="E264" i="3"/>
  <c r="E266" i="9"/>
  <c r="K266" i="9"/>
  <c r="C284" i="29"/>
  <c r="E284" i="29"/>
  <c r="D284" i="29"/>
  <c r="D157" i="29"/>
  <c r="C157" i="29"/>
  <c r="E157" i="29"/>
  <c r="E79" i="29"/>
  <c r="D79" i="29"/>
  <c r="C79" i="29"/>
  <c r="D187" i="29"/>
  <c r="C187" i="29"/>
  <c r="E187" i="29"/>
  <c r="E177" i="29"/>
  <c r="D177" i="29"/>
  <c r="C177" i="29"/>
  <c r="E210" i="29"/>
  <c r="C210" i="29"/>
  <c r="D210" i="29"/>
  <c r="E221" i="29"/>
  <c r="D221" i="29"/>
  <c r="C221" i="29"/>
  <c r="D169" i="29"/>
  <c r="C169" i="29"/>
  <c r="E169" i="29"/>
  <c r="E140" i="29"/>
  <c r="D140" i="29"/>
  <c r="C140" i="29"/>
  <c r="E162" i="29"/>
  <c r="D162" i="29"/>
  <c r="C162" i="29"/>
  <c r="E292" i="29"/>
  <c r="D292" i="29"/>
  <c r="C292" i="29"/>
  <c r="E246" i="29"/>
  <c r="D246" i="29"/>
  <c r="C246" i="29"/>
  <c r="E9" i="29"/>
  <c r="D9" i="29"/>
  <c r="C9" i="29"/>
  <c r="E262" i="29"/>
  <c r="D262" i="29"/>
  <c r="C262" i="29"/>
  <c r="E38" i="29"/>
  <c r="D38" i="29"/>
  <c r="C38" i="29"/>
  <c r="E20" i="29"/>
  <c r="D20" i="29"/>
  <c r="C20" i="29"/>
  <c r="C272" i="29"/>
  <c r="E272" i="29"/>
  <c r="D272" i="29"/>
  <c r="E224" i="29"/>
  <c r="D224" i="29"/>
  <c r="C224" i="29"/>
  <c r="E185" i="29"/>
  <c r="D185" i="29"/>
  <c r="C185" i="29"/>
  <c r="D145" i="29"/>
  <c r="C145" i="29"/>
  <c r="E145" i="29"/>
  <c r="E85" i="29"/>
  <c r="D85" i="29"/>
  <c r="C85" i="29"/>
  <c r="E29" i="29"/>
  <c r="D29" i="29"/>
  <c r="C29" i="29"/>
  <c r="E283" i="29"/>
  <c r="D283" i="29"/>
  <c r="C283" i="29"/>
  <c r="D151" i="29"/>
  <c r="C151" i="29"/>
  <c r="E151" i="29"/>
  <c r="C91" i="29"/>
  <c r="E91" i="29"/>
  <c r="D91" i="29"/>
  <c r="E33" i="29"/>
  <c r="D33" i="29"/>
  <c r="C33" i="29"/>
  <c r="C287" i="29"/>
  <c r="E287" i="29"/>
  <c r="D287" i="29"/>
  <c r="E46" i="29"/>
  <c r="D46" i="29"/>
  <c r="C46" i="29"/>
  <c r="D190" i="29"/>
  <c r="C190" i="29"/>
  <c r="E190" i="29"/>
  <c r="E23" i="29"/>
  <c r="D23" i="29"/>
  <c r="C23" i="29"/>
  <c r="E167" i="29"/>
  <c r="D167" i="29"/>
  <c r="C167" i="29"/>
  <c r="E156" i="29"/>
  <c r="D156" i="29"/>
  <c r="C156" i="29"/>
  <c r="E303" i="29"/>
  <c r="D303" i="29"/>
  <c r="C303" i="29"/>
  <c r="E39" i="29"/>
  <c r="D39" i="29"/>
  <c r="C39" i="29"/>
  <c r="E76" i="29"/>
  <c r="D76" i="29"/>
  <c r="C76" i="29"/>
  <c r="E55" i="29"/>
  <c r="D55" i="29"/>
  <c r="C55" i="29"/>
  <c r="E40" i="29"/>
  <c r="D40" i="29"/>
  <c r="C40" i="29"/>
  <c r="C296" i="29"/>
  <c r="E296" i="29"/>
  <c r="D296" i="29"/>
  <c r="E247" i="29"/>
  <c r="D247" i="29"/>
  <c r="C247" i="29"/>
  <c r="E206" i="29"/>
  <c r="D206" i="29"/>
  <c r="C206" i="29"/>
  <c r="E165" i="29"/>
  <c r="D165" i="29"/>
  <c r="C165" i="29"/>
  <c r="E104" i="29"/>
  <c r="D104" i="29"/>
  <c r="C104" i="29"/>
  <c r="E45" i="29"/>
  <c r="D45" i="29"/>
  <c r="C45" i="29"/>
  <c r="E307" i="29"/>
  <c r="D307" i="29"/>
  <c r="C307" i="29"/>
  <c r="E234" i="29"/>
  <c r="D234" i="29"/>
  <c r="C234" i="29"/>
  <c r="E173" i="29"/>
  <c r="D173" i="29"/>
  <c r="C173" i="29"/>
  <c r="C114" i="29"/>
  <c r="E114" i="29"/>
  <c r="D114" i="29"/>
  <c r="E53" i="29"/>
  <c r="D53" i="29"/>
  <c r="C53" i="29"/>
  <c r="C311" i="29"/>
  <c r="E311" i="29"/>
  <c r="D311" i="29"/>
  <c r="E58" i="29"/>
  <c r="D58" i="29"/>
  <c r="C58" i="29"/>
  <c r="E203" i="29"/>
  <c r="D203" i="29"/>
  <c r="C203" i="29"/>
  <c r="E35" i="29"/>
  <c r="D35" i="29"/>
  <c r="C35" i="29"/>
  <c r="E179" i="29"/>
  <c r="D179" i="29"/>
  <c r="C179" i="29"/>
  <c r="E24" i="29"/>
  <c r="D24" i="29"/>
  <c r="C24" i="29"/>
  <c r="E168" i="29"/>
  <c r="D168" i="29"/>
  <c r="C168" i="29"/>
  <c r="E62" i="29"/>
  <c r="D62" i="29"/>
  <c r="C62" i="29"/>
  <c r="E207" i="29"/>
  <c r="C207" i="29"/>
  <c r="D207" i="29"/>
  <c r="E51" i="29"/>
  <c r="D51" i="29"/>
  <c r="C51" i="29"/>
  <c r="E196" i="29"/>
  <c r="D196" i="29"/>
  <c r="C196" i="29"/>
  <c r="K112" i="10"/>
  <c r="E110" i="29"/>
  <c r="D110" i="3"/>
  <c r="D110" i="29"/>
  <c r="C110" i="3"/>
  <c r="C110" i="29"/>
  <c r="E110" i="3"/>
  <c r="L112" i="10"/>
  <c r="M112" i="10"/>
  <c r="N112" i="10"/>
  <c r="O112" i="10"/>
  <c r="O112" i="9"/>
  <c r="K112" i="9"/>
  <c r="J112" i="9"/>
  <c r="F112" i="9"/>
  <c r="E112" i="9"/>
  <c r="D112" i="9"/>
  <c r="C112" i="9"/>
  <c r="N79" i="10"/>
  <c r="O79" i="10"/>
  <c r="L79" i="10"/>
  <c r="M79" i="10"/>
  <c r="K79" i="10"/>
  <c r="O236" i="10"/>
  <c r="L236" i="10"/>
  <c r="M236" i="10"/>
  <c r="N236" i="10"/>
  <c r="K236" i="10"/>
  <c r="N175" i="10"/>
  <c r="O175" i="10"/>
  <c r="L175" i="10"/>
  <c r="M175" i="10"/>
  <c r="K175" i="10"/>
  <c r="N116" i="10"/>
  <c r="O116" i="10"/>
  <c r="L116" i="10"/>
  <c r="M116" i="10"/>
  <c r="K116" i="10"/>
  <c r="N55" i="10"/>
  <c r="O55" i="10"/>
  <c r="L55" i="10"/>
  <c r="M55" i="10"/>
  <c r="K55" i="10"/>
  <c r="L313" i="10"/>
  <c r="O313" i="10"/>
  <c r="N313" i="10"/>
  <c r="M313" i="10"/>
  <c r="K313" i="10"/>
  <c r="L60" i="10"/>
  <c r="N60" i="10"/>
  <c r="O60" i="10"/>
  <c r="M60" i="10"/>
  <c r="K60" i="10"/>
  <c r="O205" i="10"/>
  <c r="L205" i="10"/>
  <c r="N205" i="10"/>
  <c r="M205" i="10"/>
  <c r="K205" i="10"/>
  <c r="O37" i="10"/>
  <c r="N37" i="10"/>
  <c r="M37" i="10"/>
  <c r="K37" i="10"/>
  <c r="O181" i="10"/>
  <c r="L181" i="10"/>
  <c r="N181" i="10"/>
  <c r="M181" i="10"/>
  <c r="K181" i="10"/>
  <c r="O26" i="10"/>
  <c r="L26" i="10"/>
  <c r="N26" i="10"/>
  <c r="M26" i="10"/>
  <c r="K26" i="10"/>
  <c r="O170" i="10"/>
  <c r="L170" i="10"/>
  <c r="N170" i="10"/>
  <c r="M170" i="10"/>
  <c r="K170" i="10"/>
  <c r="M64" i="10"/>
  <c r="O64" i="10"/>
  <c r="L64" i="10"/>
  <c r="N64" i="10"/>
  <c r="K64" i="10"/>
  <c r="O209" i="10"/>
  <c r="L209" i="10"/>
  <c r="N209" i="10"/>
  <c r="M209" i="10"/>
  <c r="K209" i="10"/>
  <c r="O53" i="10"/>
  <c r="L53" i="10"/>
  <c r="N53" i="10"/>
  <c r="M53" i="10"/>
  <c r="K53" i="10"/>
  <c r="O198" i="10"/>
  <c r="L198" i="10"/>
  <c r="N198" i="10"/>
  <c r="M198" i="10"/>
  <c r="K198" i="10"/>
  <c r="O99" i="10"/>
  <c r="L99" i="10"/>
  <c r="N99" i="10"/>
  <c r="M99" i="10"/>
  <c r="K99" i="10"/>
  <c r="O275" i="10"/>
  <c r="L275" i="10"/>
  <c r="M275" i="10"/>
  <c r="N275" i="10"/>
  <c r="K275" i="10"/>
  <c r="L227" i="10"/>
  <c r="O227" i="10"/>
  <c r="M227" i="10"/>
  <c r="N227" i="10"/>
  <c r="K227" i="10"/>
  <c r="O188" i="10"/>
  <c r="L188" i="10"/>
  <c r="M188" i="10"/>
  <c r="N188" i="10"/>
  <c r="K188" i="10"/>
  <c r="N129" i="10"/>
  <c r="O129" i="10"/>
  <c r="L129" i="10"/>
  <c r="M129" i="10"/>
  <c r="K129" i="10"/>
  <c r="N68" i="10"/>
  <c r="O68" i="10"/>
  <c r="L68" i="10"/>
  <c r="M68" i="10"/>
  <c r="K68" i="10"/>
  <c r="O15" i="10"/>
  <c r="N15" i="10"/>
  <c r="M15" i="10"/>
  <c r="K15" i="10"/>
  <c r="O261" i="10"/>
  <c r="L261" i="10"/>
  <c r="N261" i="10"/>
  <c r="M261" i="10"/>
  <c r="K261" i="10"/>
  <c r="O195" i="10"/>
  <c r="L195" i="10"/>
  <c r="N195" i="10"/>
  <c r="M195" i="10"/>
  <c r="K195" i="10"/>
  <c r="O136" i="10"/>
  <c r="L136" i="10"/>
  <c r="N136" i="10"/>
  <c r="M136" i="10"/>
  <c r="K136" i="10"/>
  <c r="O75" i="10"/>
  <c r="L75" i="10"/>
  <c r="N75" i="10"/>
  <c r="M75" i="10"/>
  <c r="K75" i="10"/>
  <c r="L240" i="10"/>
  <c r="N240" i="10"/>
  <c r="O240" i="10"/>
  <c r="M240" i="10"/>
  <c r="K240" i="10"/>
  <c r="L72" i="10"/>
  <c r="N72" i="10"/>
  <c r="O72" i="10"/>
  <c r="M72" i="10"/>
  <c r="K72" i="10"/>
  <c r="O217" i="10"/>
  <c r="L217" i="10"/>
  <c r="N217" i="10"/>
  <c r="M217" i="10"/>
  <c r="K217" i="10"/>
  <c r="O49" i="10"/>
  <c r="L49" i="10"/>
  <c r="N49" i="10"/>
  <c r="M49" i="10"/>
  <c r="K49" i="10"/>
  <c r="O193" i="10"/>
  <c r="L193" i="10"/>
  <c r="N193" i="10"/>
  <c r="M193" i="10"/>
  <c r="K193" i="10"/>
  <c r="O38" i="10"/>
  <c r="L38" i="10"/>
  <c r="N38" i="10"/>
  <c r="M38" i="10"/>
  <c r="K38" i="10"/>
  <c r="O182" i="10"/>
  <c r="L182" i="10"/>
  <c r="N182" i="10"/>
  <c r="M182" i="10"/>
  <c r="K182" i="10"/>
  <c r="M76" i="10"/>
  <c r="O76" i="10"/>
  <c r="L76" i="10"/>
  <c r="N76" i="10"/>
  <c r="K76" i="10"/>
  <c r="O221" i="10"/>
  <c r="L221" i="10"/>
  <c r="N221" i="10"/>
  <c r="M221" i="10"/>
  <c r="K221" i="10"/>
  <c r="O65" i="10"/>
  <c r="L65" i="10"/>
  <c r="N65" i="10"/>
  <c r="M65" i="10"/>
  <c r="K65" i="10"/>
  <c r="O210" i="10"/>
  <c r="L210" i="10"/>
  <c r="N210" i="10"/>
  <c r="M210" i="10"/>
  <c r="K210" i="10"/>
  <c r="O208" i="10"/>
  <c r="L208" i="10"/>
  <c r="N208" i="10"/>
  <c r="M208" i="10"/>
  <c r="K208" i="10"/>
  <c r="L119" i="10"/>
  <c r="N119" i="10"/>
  <c r="O119" i="10"/>
  <c r="M119" i="10"/>
  <c r="K119" i="10"/>
  <c r="N80" i="10"/>
  <c r="O80" i="10"/>
  <c r="L80" i="10"/>
  <c r="M80" i="10"/>
  <c r="K80" i="10"/>
  <c r="N43" i="10"/>
  <c r="O43" i="10"/>
  <c r="L43" i="10"/>
  <c r="M43" i="10"/>
  <c r="K43" i="10"/>
  <c r="O299" i="10"/>
  <c r="L299" i="10"/>
  <c r="N299" i="10"/>
  <c r="M299" i="10"/>
  <c r="K299" i="10"/>
  <c r="L250" i="10"/>
  <c r="O250" i="10"/>
  <c r="M250" i="10"/>
  <c r="N250" i="10"/>
  <c r="K250" i="10"/>
  <c r="N211" i="10"/>
  <c r="O211" i="10"/>
  <c r="L211" i="10"/>
  <c r="M211" i="10"/>
  <c r="K211" i="10"/>
  <c r="O150" i="10"/>
  <c r="L150" i="10"/>
  <c r="N150" i="10"/>
  <c r="M150" i="10"/>
  <c r="K150" i="10"/>
  <c r="O90" i="10"/>
  <c r="L90" i="10"/>
  <c r="N90" i="10"/>
  <c r="M90" i="10"/>
  <c r="K90" i="10"/>
  <c r="N32" i="10"/>
  <c r="O32" i="10"/>
  <c r="L32" i="10"/>
  <c r="M32" i="10"/>
  <c r="K32" i="10"/>
  <c r="O286" i="10"/>
  <c r="L286" i="10"/>
  <c r="M286" i="10"/>
  <c r="N286" i="10"/>
  <c r="K286" i="10"/>
  <c r="L215" i="10"/>
  <c r="O215" i="10"/>
  <c r="N215" i="10"/>
  <c r="M215" i="10"/>
  <c r="K215" i="10"/>
  <c r="L154" i="10"/>
  <c r="O154" i="10"/>
  <c r="M154" i="10"/>
  <c r="N154" i="10"/>
  <c r="K154" i="10"/>
  <c r="L94" i="10"/>
  <c r="N94" i="10"/>
  <c r="O94" i="10"/>
  <c r="M94" i="10"/>
  <c r="K94" i="10"/>
  <c r="L253" i="10"/>
  <c r="N253" i="10"/>
  <c r="O253" i="10"/>
  <c r="M253" i="10"/>
  <c r="K253" i="10"/>
  <c r="L84" i="10"/>
  <c r="N84" i="10"/>
  <c r="O84" i="10"/>
  <c r="M84" i="10"/>
  <c r="K84" i="10"/>
  <c r="O229" i="10"/>
  <c r="L229" i="10"/>
  <c r="N229" i="10"/>
  <c r="M229" i="10"/>
  <c r="K229" i="10"/>
  <c r="O61" i="10"/>
  <c r="L61" i="10"/>
  <c r="N61" i="10"/>
  <c r="M61" i="10"/>
  <c r="K61" i="10"/>
  <c r="O206" i="10"/>
  <c r="L206" i="10"/>
  <c r="N206" i="10"/>
  <c r="M206" i="10"/>
  <c r="K206" i="10"/>
  <c r="O50" i="10"/>
  <c r="L50" i="10"/>
  <c r="N50" i="10"/>
  <c r="M50" i="10"/>
  <c r="K50" i="10"/>
  <c r="O194" i="10"/>
  <c r="L194" i="10"/>
  <c r="N194" i="10"/>
  <c r="M194" i="10"/>
  <c r="K194" i="10"/>
  <c r="M88" i="10"/>
  <c r="O88" i="10"/>
  <c r="L88" i="10"/>
  <c r="N88" i="10"/>
  <c r="K88" i="10"/>
  <c r="O233" i="10"/>
  <c r="L233" i="10"/>
  <c r="N233" i="10"/>
  <c r="M233" i="10"/>
  <c r="K233" i="10"/>
  <c r="O77" i="10"/>
  <c r="L77" i="10"/>
  <c r="N77" i="10"/>
  <c r="M77" i="10"/>
  <c r="K77" i="10"/>
  <c r="O222" i="10"/>
  <c r="L222" i="10"/>
  <c r="N222" i="10"/>
  <c r="M222" i="10"/>
  <c r="K222" i="10"/>
  <c r="L106" i="10"/>
  <c r="N106" i="10"/>
  <c r="O106" i="10"/>
  <c r="M106" i="10"/>
  <c r="K106" i="10"/>
  <c r="O27" i="10"/>
  <c r="L27" i="10"/>
  <c r="N27" i="10"/>
  <c r="M27" i="10"/>
  <c r="K27" i="10"/>
  <c r="L228" i="10"/>
  <c r="N228" i="10"/>
  <c r="O228" i="10"/>
  <c r="M228" i="10"/>
  <c r="K228" i="10"/>
  <c r="L107" i="10"/>
  <c r="N107" i="10"/>
  <c r="O107" i="10"/>
  <c r="M107" i="10"/>
  <c r="K107" i="10"/>
  <c r="O51" i="10"/>
  <c r="L51" i="10"/>
  <c r="N51" i="10"/>
  <c r="M51" i="10"/>
  <c r="K51" i="10"/>
  <c r="O310" i="10"/>
  <c r="L310" i="10"/>
  <c r="N310" i="10"/>
  <c r="M310" i="10"/>
  <c r="K310" i="10"/>
  <c r="O237" i="10"/>
  <c r="L237" i="10"/>
  <c r="M237" i="10"/>
  <c r="N237" i="10"/>
  <c r="K237" i="10"/>
  <c r="O176" i="10"/>
  <c r="L176" i="10"/>
  <c r="N176" i="10"/>
  <c r="M176" i="10"/>
  <c r="K176" i="10"/>
  <c r="L265" i="10"/>
  <c r="N265" i="10"/>
  <c r="O265" i="10"/>
  <c r="M265" i="10"/>
  <c r="K265" i="10"/>
  <c r="L96" i="10"/>
  <c r="N96" i="10"/>
  <c r="O96" i="10"/>
  <c r="M96" i="10"/>
  <c r="K96" i="10"/>
  <c r="O241" i="10"/>
  <c r="L241" i="10"/>
  <c r="N241" i="10"/>
  <c r="M241" i="10"/>
  <c r="K241" i="10"/>
  <c r="O73" i="10"/>
  <c r="L73" i="10"/>
  <c r="N73" i="10"/>
  <c r="M73" i="10"/>
  <c r="K73" i="10"/>
  <c r="O218" i="10"/>
  <c r="L218" i="10"/>
  <c r="N218" i="10"/>
  <c r="M218" i="10"/>
  <c r="K218" i="10"/>
  <c r="O62" i="10"/>
  <c r="L62" i="10"/>
  <c r="N62" i="10"/>
  <c r="M62" i="10"/>
  <c r="K62" i="10"/>
  <c r="O207" i="10"/>
  <c r="L207" i="10"/>
  <c r="N207" i="10"/>
  <c r="M207" i="10"/>
  <c r="K207" i="10"/>
  <c r="M100" i="10"/>
  <c r="O100" i="10"/>
  <c r="L100" i="10"/>
  <c r="N100" i="10"/>
  <c r="K100" i="10"/>
  <c r="O245" i="10"/>
  <c r="L245" i="10"/>
  <c r="N245" i="10"/>
  <c r="M245" i="10"/>
  <c r="K245" i="10"/>
  <c r="O89" i="10"/>
  <c r="L89" i="10"/>
  <c r="N89" i="10"/>
  <c r="M89" i="10"/>
  <c r="K89" i="10"/>
  <c r="O234" i="10"/>
  <c r="L234" i="10"/>
  <c r="N234" i="10"/>
  <c r="M234" i="10"/>
  <c r="K234" i="10"/>
  <c r="O118" i="10"/>
  <c r="L118" i="10"/>
  <c r="N118" i="10"/>
  <c r="M118" i="10"/>
  <c r="K118" i="10"/>
  <c r="L58" i="10"/>
  <c r="N58" i="10"/>
  <c r="O58" i="10"/>
  <c r="M58" i="10"/>
  <c r="K58" i="10"/>
  <c r="L59" i="10"/>
  <c r="N59" i="10"/>
  <c r="O59" i="10"/>
  <c r="M59" i="10"/>
  <c r="K59" i="10"/>
  <c r="L276" i="10"/>
  <c r="O276" i="10"/>
  <c r="N276" i="10"/>
  <c r="M276" i="10"/>
  <c r="K276" i="10"/>
  <c r="L166" i="10"/>
  <c r="O166" i="10"/>
  <c r="N166" i="10"/>
  <c r="M166" i="10"/>
  <c r="K166" i="10"/>
  <c r="N117" i="10"/>
  <c r="O117" i="10"/>
  <c r="L117" i="10"/>
  <c r="M117" i="10"/>
  <c r="K117" i="10"/>
  <c r="O201" i="10"/>
  <c r="L201" i="10"/>
  <c r="M201" i="10"/>
  <c r="N201" i="10"/>
  <c r="K201" i="10"/>
  <c r="O162" i="10"/>
  <c r="L162" i="10"/>
  <c r="N162" i="10"/>
  <c r="M162" i="10"/>
  <c r="K162" i="10"/>
  <c r="L120" i="10"/>
  <c r="N120" i="10"/>
  <c r="O120" i="10"/>
  <c r="M120" i="10"/>
  <c r="K120" i="10"/>
  <c r="N81" i="10"/>
  <c r="O81" i="10"/>
  <c r="L81" i="10"/>
  <c r="M81" i="10"/>
  <c r="K81" i="10"/>
  <c r="L44" i="10"/>
  <c r="M44" i="10"/>
  <c r="K44" i="10"/>
  <c r="L300" i="10"/>
  <c r="O300" i="10"/>
  <c r="N300" i="10"/>
  <c r="M300" i="10"/>
  <c r="K300" i="10"/>
  <c r="L252" i="10"/>
  <c r="O252" i="10"/>
  <c r="M252" i="10"/>
  <c r="N252" i="10"/>
  <c r="K252" i="10"/>
  <c r="O189" i="10"/>
  <c r="L189" i="10"/>
  <c r="M189" i="10"/>
  <c r="N189" i="10"/>
  <c r="K189" i="10"/>
  <c r="O130" i="10"/>
  <c r="L130" i="10"/>
  <c r="N130" i="10"/>
  <c r="M130" i="10"/>
  <c r="K130" i="10"/>
  <c r="N69" i="10"/>
  <c r="O69" i="10"/>
  <c r="L69" i="10"/>
  <c r="M69" i="10"/>
  <c r="K69" i="10"/>
  <c r="M16" i="10"/>
  <c r="O16" i="10"/>
  <c r="L16" i="10"/>
  <c r="N16" i="10"/>
  <c r="K16" i="10"/>
  <c r="O262" i="10"/>
  <c r="L262" i="10"/>
  <c r="N262" i="10"/>
  <c r="M262" i="10"/>
  <c r="K262" i="10"/>
  <c r="N199" i="10"/>
  <c r="O199" i="10"/>
  <c r="L199" i="10"/>
  <c r="M199" i="10"/>
  <c r="K199" i="10"/>
  <c r="O139" i="10"/>
  <c r="L139" i="10"/>
  <c r="N139" i="10"/>
  <c r="M139" i="10"/>
  <c r="K139" i="10"/>
  <c r="L278" i="10"/>
  <c r="O278" i="10"/>
  <c r="N278" i="10"/>
  <c r="M278" i="10"/>
  <c r="K278" i="10"/>
  <c r="L108" i="10"/>
  <c r="N108" i="10"/>
  <c r="O108" i="10"/>
  <c r="M108" i="10"/>
  <c r="K108" i="10"/>
  <c r="O254" i="10"/>
  <c r="L254" i="10"/>
  <c r="N254" i="10"/>
  <c r="M254" i="10"/>
  <c r="K254" i="10"/>
  <c r="O85" i="10"/>
  <c r="L85" i="10"/>
  <c r="N85" i="10"/>
  <c r="M85" i="10"/>
  <c r="K85" i="10"/>
  <c r="O230" i="10"/>
  <c r="L230" i="10"/>
  <c r="N230" i="10"/>
  <c r="M230" i="10"/>
  <c r="K230" i="10"/>
  <c r="O74" i="10"/>
  <c r="L74" i="10"/>
  <c r="N74" i="10"/>
  <c r="M74" i="10"/>
  <c r="K74" i="10"/>
  <c r="O219" i="10"/>
  <c r="L219" i="10"/>
  <c r="N219" i="10"/>
  <c r="M219" i="10"/>
  <c r="K219" i="10"/>
  <c r="M113" i="10"/>
  <c r="O113" i="10"/>
  <c r="L113" i="10"/>
  <c r="N113" i="10"/>
  <c r="K113" i="10"/>
  <c r="O258" i="10"/>
  <c r="L258" i="10"/>
  <c r="N258" i="10"/>
  <c r="M258" i="10"/>
  <c r="K258" i="10"/>
  <c r="O101" i="10"/>
  <c r="L101" i="10"/>
  <c r="N101" i="10"/>
  <c r="M101" i="10"/>
  <c r="K101" i="10"/>
  <c r="O246" i="10"/>
  <c r="L246" i="10"/>
  <c r="N246" i="10"/>
  <c r="M246" i="10"/>
  <c r="K246" i="10"/>
  <c r="L47" i="10"/>
  <c r="N47" i="10"/>
  <c r="O47" i="10"/>
  <c r="M47" i="10"/>
  <c r="K47" i="10"/>
  <c r="L178" i="10"/>
  <c r="O178" i="10"/>
  <c r="N178" i="10"/>
  <c r="M178" i="10"/>
  <c r="K178" i="10"/>
  <c r="L179" i="10"/>
  <c r="O179" i="10"/>
  <c r="N179" i="10"/>
  <c r="M179" i="10"/>
  <c r="K179" i="10"/>
  <c r="O141" i="10"/>
  <c r="L141" i="10"/>
  <c r="N141" i="10"/>
  <c r="M141" i="10"/>
  <c r="K141" i="10"/>
  <c r="N103" i="10"/>
  <c r="O103" i="10"/>
  <c r="L103" i="10"/>
  <c r="M103" i="10"/>
  <c r="K103" i="10"/>
  <c r="O63" i="10"/>
  <c r="L63" i="10"/>
  <c r="N63" i="10"/>
  <c r="M63" i="10"/>
  <c r="K63" i="10"/>
  <c r="M28" i="10"/>
  <c r="L28" i="10"/>
  <c r="N28" i="10"/>
  <c r="K28" i="10"/>
  <c r="L277" i="10"/>
  <c r="O277" i="10"/>
  <c r="N277" i="10"/>
  <c r="M277" i="10"/>
  <c r="K277" i="10"/>
  <c r="O212" i="10"/>
  <c r="L212" i="10"/>
  <c r="N212" i="10"/>
  <c r="M212" i="10"/>
  <c r="K212" i="10"/>
  <c r="N151" i="10"/>
  <c r="O151" i="10"/>
  <c r="L151" i="10"/>
  <c r="M151" i="10"/>
  <c r="K151" i="10"/>
  <c r="N91" i="10"/>
  <c r="O91" i="10"/>
  <c r="L91" i="10"/>
  <c r="M91" i="10"/>
  <c r="K91" i="10"/>
  <c r="N33" i="10"/>
  <c r="O33" i="10"/>
  <c r="L33" i="10"/>
  <c r="M33" i="10"/>
  <c r="K33" i="10"/>
  <c r="O287" i="10"/>
  <c r="L287" i="10"/>
  <c r="N287" i="10"/>
  <c r="M287" i="10"/>
  <c r="K287" i="10"/>
  <c r="L216" i="10"/>
  <c r="N216" i="10"/>
  <c r="O216" i="10"/>
  <c r="M216" i="10"/>
  <c r="K216" i="10"/>
  <c r="L155" i="10"/>
  <c r="O155" i="10"/>
  <c r="M155" i="10"/>
  <c r="N155" i="10"/>
  <c r="K155" i="10"/>
  <c r="L290" i="10"/>
  <c r="O290" i="10"/>
  <c r="M290" i="10"/>
  <c r="N290" i="10"/>
  <c r="K290" i="10"/>
  <c r="L121" i="10"/>
  <c r="N121" i="10"/>
  <c r="O121" i="10"/>
  <c r="M121" i="10"/>
  <c r="K121" i="10"/>
  <c r="O267" i="10"/>
  <c r="L267" i="10"/>
  <c r="N267" i="10"/>
  <c r="M267" i="10"/>
  <c r="K267" i="10"/>
  <c r="O97" i="10"/>
  <c r="L97" i="10"/>
  <c r="N97" i="10"/>
  <c r="M97" i="10"/>
  <c r="K97" i="10"/>
  <c r="O242" i="10"/>
  <c r="L242" i="10"/>
  <c r="N242" i="10"/>
  <c r="M242" i="10"/>
  <c r="K242" i="10"/>
  <c r="O86" i="10"/>
  <c r="L86" i="10"/>
  <c r="N86" i="10"/>
  <c r="M86" i="10"/>
  <c r="K86" i="10"/>
  <c r="O231" i="10"/>
  <c r="L231" i="10"/>
  <c r="N231" i="10"/>
  <c r="M231" i="10"/>
  <c r="K231" i="10"/>
  <c r="O125" i="10"/>
  <c r="L125" i="10"/>
  <c r="N125" i="10"/>
  <c r="M125" i="10"/>
  <c r="K125" i="10"/>
  <c r="O271" i="10"/>
  <c r="L271" i="10"/>
  <c r="N271" i="10"/>
  <c r="M271" i="10"/>
  <c r="K271" i="10"/>
  <c r="O114" i="10"/>
  <c r="L114" i="10"/>
  <c r="N114" i="10"/>
  <c r="M114" i="10"/>
  <c r="K114" i="10"/>
  <c r="O259" i="10"/>
  <c r="L259" i="10"/>
  <c r="N259" i="10"/>
  <c r="M259" i="10"/>
  <c r="K259" i="10"/>
  <c r="L167" i="10"/>
  <c r="O167" i="10"/>
  <c r="N167" i="10"/>
  <c r="M167" i="10"/>
  <c r="K167" i="10"/>
  <c r="O244" i="10"/>
  <c r="L244" i="10"/>
  <c r="N244" i="10"/>
  <c r="M244" i="10"/>
  <c r="K244" i="10"/>
  <c r="L202" i="10"/>
  <c r="O202" i="10"/>
  <c r="N202" i="10"/>
  <c r="M202" i="10"/>
  <c r="K202" i="10"/>
  <c r="N163" i="10"/>
  <c r="O163" i="10"/>
  <c r="L163" i="10"/>
  <c r="M163" i="10"/>
  <c r="K163" i="10"/>
  <c r="O124" i="10"/>
  <c r="L124" i="10"/>
  <c r="N124" i="10"/>
  <c r="M124" i="10"/>
  <c r="K124" i="10"/>
  <c r="L82" i="10"/>
  <c r="N82" i="10"/>
  <c r="O82" i="10"/>
  <c r="M82" i="10"/>
  <c r="K82" i="10"/>
  <c r="N45" i="10"/>
  <c r="O45" i="10"/>
  <c r="L45" i="10"/>
  <c r="M45" i="10"/>
  <c r="K45" i="10"/>
  <c r="L301" i="10"/>
  <c r="O301" i="10"/>
  <c r="M301" i="10"/>
  <c r="N301" i="10"/>
  <c r="K301" i="10"/>
  <c r="O232" i="10"/>
  <c r="L232" i="10"/>
  <c r="N232" i="10"/>
  <c r="M232" i="10"/>
  <c r="K232" i="10"/>
  <c r="O171" i="10"/>
  <c r="L171" i="10"/>
  <c r="N171" i="10"/>
  <c r="M171" i="10"/>
  <c r="K171" i="10"/>
  <c r="O110" i="10"/>
  <c r="L110" i="10"/>
  <c r="N110" i="10"/>
  <c r="M110" i="10"/>
  <c r="K110" i="10"/>
  <c r="M52" i="10"/>
  <c r="O52" i="10"/>
  <c r="L52" i="10"/>
  <c r="N52" i="10"/>
  <c r="K52" i="10"/>
  <c r="O311" i="10"/>
  <c r="L311" i="10"/>
  <c r="M311" i="10"/>
  <c r="N311" i="10"/>
  <c r="K311" i="10"/>
  <c r="L238" i="10"/>
  <c r="O238" i="10"/>
  <c r="N238" i="10"/>
  <c r="M238" i="10"/>
  <c r="K238" i="10"/>
  <c r="O177" i="10"/>
  <c r="L177" i="10"/>
  <c r="N177" i="10"/>
  <c r="M177" i="10"/>
  <c r="K177" i="10"/>
  <c r="L302" i="10"/>
  <c r="O302" i="10"/>
  <c r="N302" i="10"/>
  <c r="M302" i="10"/>
  <c r="K302" i="10"/>
  <c r="L133" i="10"/>
  <c r="N133" i="10"/>
  <c r="O133" i="10"/>
  <c r="M133" i="10"/>
  <c r="K133" i="10"/>
  <c r="O279" i="10"/>
  <c r="L279" i="10"/>
  <c r="N279" i="10"/>
  <c r="M279" i="10"/>
  <c r="K279" i="10"/>
  <c r="O109" i="10"/>
  <c r="L109" i="10"/>
  <c r="N109" i="10"/>
  <c r="M109" i="10"/>
  <c r="K109" i="10"/>
  <c r="O255" i="10"/>
  <c r="L255" i="10"/>
  <c r="N255" i="10"/>
  <c r="M255" i="10"/>
  <c r="K255" i="10"/>
  <c r="O98" i="10"/>
  <c r="L98" i="10"/>
  <c r="N98" i="10"/>
  <c r="M98" i="10"/>
  <c r="K98" i="10"/>
  <c r="O243" i="10"/>
  <c r="L243" i="10"/>
  <c r="N243" i="10"/>
  <c r="M243" i="10"/>
  <c r="K243" i="10"/>
  <c r="O137" i="10"/>
  <c r="L137" i="10"/>
  <c r="N137" i="10"/>
  <c r="M137" i="10"/>
  <c r="K137" i="10"/>
  <c r="O283" i="10"/>
  <c r="L283" i="10"/>
  <c r="N283" i="10"/>
  <c r="M283" i="10"/>
  <c r="K283" i="10"/>
  <c r="O126" i="10"/>
  <c r="L126" i="10"/>
  <c r="N126" i="10"/>
  <c r="M126" i="10"/>
  <c r="K126" i="10"/>
  <c r="O272" i="10"/>
  <c r="L272" i="10"/>
  <c r="N272" i="10"/>
  <c r="M272" i="10"/>
  <c r="K272" i="10"/>
  <c r="L42" i="10"/>
  <c r="N42" i="10"/>
  <c r="M42" i="10"/>
  <c r="K42" i="10"/>
  <c r="L23" i="10"/>
  <c r="N23" i="10"/>
  <c r="O23" i="10"/>
  <c r="M23" i="10"/>
  <c r="K23" i="10"/>
  <c r="O102" i="10"/>
  <c r="L102" i="10"/>
  <c r="N102" i="10"/>
  <c r="M102" i="10"/>
  <c r="K102" i="10"/>
  <c r="N223" i="10"/>
  <c r="O223" i="10"/>
  <c r="L223" i="10"/>
  <c r="M223" i="10"/>
  <c r="K223" i="10"/>
  <c r="L95" i="10"/>
  <c r="N95" i="10"/>
  <c r="O95" i="10"/>
  <c r="M95" i="10"/>
  <c r="K95" i="10"/>
  <c r="O270" i="10"/>
  <c r="L270" i="10"/>
  <c r="N270" i="10"/>
  <c r="M270" i="10"/>
  <c r="K270" i="10"/>
  <c r="O224" i="10"/>
  <c r="L224" i="10"/>
  <c r="M224" i="10"/>
  <c r="N224" i="10"/>
  <c r="K224" i="10"/>
  <c r="O183" i="10"/>
  <c r="L183" i="10"/>
  <c r="N183" i="10"/>
  <c r="M183" i="10"/>
  <c r="K183" i="10"/>
  <c r="L142" i="10"/>
  <c r="O142" i="10"/>
  <c r="N142" i="10"/>
  <c r="M142" i="10"/>
  <c r="K142" i="10"/>
  <c r="N104" i="10"/>
  <c r="O104" i="10"/>
  <c r="L104" i="10"/>
  <c r="M104" i="10"/>
  <c r="K104" i="10"/>
  <c r="O66" i="10"/>
  <c r="L66" i="10"/>
  <c r="N66" i="10"/>
  <c r="M66" i="10"/>
  <c r="K66" i="10"/>
  <c r="O257" i="10"/>
  <c r="L257" i="10"/>
  <c r="N257" i="10"/>
  <c r="M257" i="10"/>
  <c r="K257" i="10"/>
  <c r="L190" i="10"/>
  <c r="O190" i="10"/>
  <c r="M190" i="10"/>
  <c r="N190" i="10"/>
  <c r="K190" i="10"/>
  <c r="L131" i="10"/>
  <c r="N131" i="10"/>
  <c r="O131" i="10"/>
  <c r="M131" i="10"/>
  <c r="K131" i="10"/>
  <c r="L70" i="10"/>
  <c r="N70" i="10"/>
  <c r="O70" i="10"/>
  <c r="M70" i="10"/>
  <c r="K70" i="10"/>
  <c r="O18" i="10"/>
  <c r="N18" i="10"/>
  <c r="M18" i="10"/>
  <c r="K18" i="10"/>
  <c r="L263" i="10"/>
  <c r="O263" i="10"/>
  <c r="N263" i="10"/>
  <c r="M263" i="10"/>
  <c r="K263" i="10"/>
  <c r="O200" i="10"/>
  <c r="L200" i="10"/>
  <c r="N200" i="10"/>
  <c r="M200" i="10"/>
  <c r="K200" i="10"/>
  <c r="L314" i="10"/>
  <c r="O314" i="10"/>
  <c r="N314" i="10"/>
  <c r="M314" i="10"/>
  <c r="L144" i="10"/>
  <c r="N144" i="10"/>
  <c r="O144" i="10"/>
  <c r="M144" i="10"/>
  <c r="K144" i="10"/>
  <c r="O291" i="10"/>
  <c r="L291" i="10"/>
  <c r="M291" i="10"/>
  <c r="N291" i="10"/>
  <c r="K291" i="10"/>
  <c r="O122" i="10"/>
  <c r="L122" i="10"/>
  <c r="N122" i="10"/>
  <c r="M122" i="10"/>
  <c r="K122" i="10"/>
  <c r="O268" i="10"/>
  <c r="L268" i="10"/>
  <c r="N268" i="10"/>
  <c r="M268" i="10"/>
  <c r="K268" i="10"/>
  <c r="O111" i="10"/>
  <c r="L111" i="10"/>
  <c r="N111" i="10"/>
  <c r="M111" i="10"/>
  <c r="K111" i="10"/>
  <c r="O256" i="10"/>
  <c r="L256" i="10"/>
  <c r="N256" i="10"/>
  <c r="M256" i="10"/>
  <c r="K256" i="10"/>
  <c r="O148" i="10"/>
  <c r="L148" i="10"/>
  <c r="N148" i="10"/>
  <c r="M148" i="10"/>
  <c r="K148" i="10"/>
  <c r="O295" i="10"/>
  <c r="L295" i="10"/>
  <c r="N295" i="10"/>
  <c r="M295" i="10"/>
  <c r="K295" i="10"/>
  <c r="O138" i="10"/>
  <c r="L138" i="10"/>
  <c r="N138" i="10"/>
  <c r="M138" i="10"/>
  <c r="K138" i="10"/>
  <c r="O284" i="10"/>
  <c r="L284" i="10"/>
  <c r="N284" i="10"/>
  <c r="M284" i="10"/>
  <c r="K284" i="10"/>
  <c r="O296" i="10"/>
  <c r="L296" i="10"/>
  <c r="N296" i="10"/>
  <c r="M296" i="10"/>
  <c r="K296" i="10"/>
  <c r="N309" i="10"/>
  <c r="O309" i="10"/>
  <c r="L309" i="10"/>
  <c r="M309" i="10"/>
  <c r="K309" i="10"/>
  <c r="O159" i="10"/>
  <c r="L159" i="10"/>
  <c r="N159" i="10"/>
  <c r="M159" i="10"/>
  <c r="K159" i="10"/>
  <c r="O294" i="10"/>
  <c r="L294" i="10"/>
  <c r="N294" i="10"/>
  <c r="M294" i="10"/>
  <c r="K294" i="10"/>
  <c r="L203" i="10"/>
  <c r="O203" i="10"/>
  <c r="N203" i="10"/>
  <c r="M203" i="10"/>
  <c r="K203" i="10"/>
  <c r="L83" i="10"/>
  <c r="N83" i="10"/>
  <c r="O83" i="10"/>
  <c r="M83" i="10"/>
  <c r="K83" i="10"/>
  <c r="O282" i="10"/>
  <c r="L282" i="10"/>
  <c r="N282" i="10"/>
  <c r="M282" i="10"/>
  <c r="K282" i="10"/>
  <c r="N92" i="10"/>
  <c r="O92" i="10"/>
  <c r="L92" i="10"/>
  <c r="M92" i="10"/>
  <c r="K92" i="10"/>
  <c r="L288" i="10"/>
  <c r="O288" i="10"/>
  <c r="M288" i="10"/>
  <c r="N288" i="10"/>
  <c r="K288" i="10"/>
  <c r="L156" i="10"/>
  <c r="N156" i="10"/>
  <c r="O156" i="10"/>
  <c r="M156" i="10"/>
  <c r="K156" i="10"/>
  <c r="O123" i="10"/>
  <c r="L123" i="10"/>
  <c r="N123" i="10"/>
  <c r="M123" i="10"/>
  <c r="K123" i="10"/>
  <c r="O307" i="10"/>
  <c r="L307" i="10"/>
  <c r="N307" i="10"/>
  <c r="M307" i="10"/>
  <c r="K307" i="10"/>
  <c r="N273" i="10"/>
  <c r="O273" i="10"/>
  <c r="L273" i="10"/>
  <c r="M273" i="10"/>
  <c r="K273" i="10"/>
  <c r="O225" i="10"/>
  <c r="L225" i="10"/>
  <c r="N225" i="10"/>
  <c r="M225" i="10"/>
  <c r="K225" i="10"/>
  <c r="O186" i="10"/>
  <c r="L186" i="10"/>
  <c r="N186" i="10"/>
  <c r="M186" i="10"/>
  <c r="K186" i="10"/>
  <c r="L143" i="10"/>
  <c r="O143" i="10"/>
  <c r="N143" i="10"/>
  <c r="M143" i="10"/>
  <c r="K143" i="10"/>
  <c r="N105" i="10"/>
  <c r="O105" i="10"/>
  <c r="L105" i="10"/>
  <c r="M105" i="10"/>
  <c r="K105" i="10"/>
  <c r="L46" i="10"/>
  <c r="N46" i="10"/>
  <c r="O46" i="10"/>
  <c r="M46" i="10"/>
  <c r="K46" i="10"/>
  <c r="O306" i="10"/>
  <c r="L306" i="10"/>
  <c r="N306" i="10"/>
  <c r="M306" i="10"/>
  <c r="K306" i="10"/>
  <c r="N235" i="10"/>
  <c r="O235" i="10"/>
  <c r="L235" i="10"/>
  <c r="M235" i="10"/>
  <c r="K235" i="10"/>
  <c r="O174" i="10"/>
  <c r="L174" i="10"/>
  <c r="N174" i="10"/>
  <c r="M174" i="10"/>
  <c r="K174" i="10"/>
  <c r="O115" i="10"/>
  <c r="L115" i="10"/>
  <c r="N115" i="10"/>
  <c r="M115" i="10"/>
  <c r="K115" i="10"/>
  <c r="O54" i="10"/>
  <c r="L54" i="10"/>
  <c r="N54" i="10"/>
  <c r="M54" i="10"/>
  <c r="K54" i="10"/>
  <c r="L312" i="10"/>
  <c r="O312" i="10"/>
  <c r="M312" i="10"/>
  <c r="N312" i="10"/>
  <c r="K312" i="10"/>
  <c r="L239" i="10"/>
  <c r="O239" i="10"/>
  <c r="N239" i="10"/>
  <c r="M239" i="10"/>
  <c r="K239" i="10"/>
  <c r="L24" i="10"/>
  <c r="N24" i="10"/>
  <c r="O24" i="10"/>
  <c r="M24" i="10"/>
  <c r="K24" i="10"/>
  <c r="L168" i="10"/>
  <c r="N168" i="10"/>
  <c r="O168" i="10"/>
  <c r="M168" i="10"/>
  <c r="K168" i="10"/>
  <c r="O315" i="10"/>
  <c r="L315" i="10"/>
  <c r="M315" i="10"/>
  <c r="N315" i="10"/>
  <c r="K315" i="10"/>
  <c r="O145" i="10"/>
  <c r="L145" i="10"/>
  <c r="N145" i="10"/>
  <c r="M145" i="10"/>
  <c r="K145" i="10"/>
  <c r="O292" i="10"/>
  <c r="L292" i="10"/>
  <c r="M292" i="10"/>
  <c r="N292" i="10"/>
  <c r="K292" i="10"/>
  <c r="O135" i="10"/>
  <c r="L135" i="10"/>
  <c r="N135" i="10"/>
  <c r="M135" i="10"/>
  <c r="K135" i="10"/>
  <c r="O281" i="10"/>
  <c r="L281" i="10"/>
  <c r="N281" i="10"/>
  <c r="M281" i="10"/>
  <c r="K281" i="10"/>
  <c r="O172" i="10"/>
  <c r="L172" i="10"/>
  <c r="N172" i="10"/>
  <c r="M172" i="10"/>
  <c r="K172" i="10"/>
  <c r="O17" i="10"/>
  <c r="L17" i="10"/>
  <c r="N17" i="10"/>
  <c r="M17" i="10"/>
  <c r="K17" i="10"/>
  <c r="O161" i="10"/>
  <c r="L161" i="10"/>
  <c r="N161" i="10"/>
  <c r="M161" i="10"/>
  <c r="K161" i="10"/>
  <c r="O308" i="10"/>
  <c r="L308" i="10"/>
  <c r="N308" i="10"/>
  <c r="M308" i="10"/>
  <c r="K308" i="10"/>
  <c r="O249" i="10"/>
  <c r="L249" i="10"/>
  <c r="N249" i="10"/>
  <c r="M249" i="10"/>
  <c r="K249" i="10"/>
  <c r="N140" i="10"/>
  <c r="O140" i="10"/>
  <c r="L140" i="10"/>
  <c r="M140" i="10"/>
  <c r="K140" i="10"/>
  <c r="N247" i="10"/>
  <c r="O247" i="10"/>
  <c r="L247" i="10"/>
  <c r="M247" i="10"/>
  <c r="K247" i="10"/>
  <c r="O127" i="10"/>
  <c r="L127" i="10"/>
  <c r="N127" i="10"/>
  <c r="M127" i="10"/>
  <c r="K127" i="10"/>
  <c r="O30" i="10"/>
  <c r="L30" i="10"/>
  <c r="N30" i="10"/>
  <c r="M30" i="10"/>
  <c r="K30" i="10"/>
  <c r="O152" i="10"/>
  <c r="L152" i="10"/>
  <c r="N152" i="10"/>
  <c r="M152" i="10"/>
  <c r="K152" i="10"/>
  <c r="L34" i="10"/>
  <c r="N34" i="10"/>
  <c r="M34" i="10"/>
  <c r="K34" i="10"/>
  <c r="L12" i="10"/>
  <c r="N12" i="10"/>
  <c r="O12" i="10"/>
  <c r="M12" i="10"/>
  <c r="K12" i="10"/>
  <c r="O303" i="10"/>
  <c r="L303" i="10"/>
  <c r="M303" i="10"/>
  <c r="N303" i="10"/>
  <c r="K303" i="10"/>
  <c r="O280" i="10"/>
  <c r="L280" i="10"/>
  <c r="N280" i="10"/>
  <c r="M280" i="10"/>
  <c r="K280" i="10"/>
  <c r="O269" i="10"/>
  <c r="L269" i="10"/>
  <c r="N269" i="10"/>
  <c r="M269" i="10"/>
  <c r="K269" i="10"/>
  <c r="O160" i="10"/>
  <c r="L160" i="10"/>
  <c r="N160" i="10"/>
  <c r="M160" i="10"/>
  <c r="K160" i="10"/>
  <c r="N56" i="10"/>
  <c r="O56" i="10"/>
  <c r="L56" i="10"/>
  <c r="M56" i="10"/>
  <c r="K56" i="10"/>
  <c r="L204" i="10"/>
  <c r="N204" i="10"/>
  <c r="O204" i="10"/>
  <c r="M204" i="10"/>
  <c r="K204" i="10"/>
  <c r="N128" i="10"/>
  <c r="O128" i="10"/>
  <c r="L128" i="10"/>
  <c r="M128" i="10"/>
  <c r="K128" i="10"/>
  <c r="N67" i="10"/>
  <c r="O67" i="10"/>
  <c r="L67" i="10"/>
  <c r="M67" i="10"/>
  <c r="K67" i="10"/>
  <c r="N11" i="10"/>
  <c r="O11" i="10"/>
  <c r="K11" i="10"/>
  <c r="N260" i="10"/>
  <c r="O260" i="10"/>
  <c r="L260" i="10"/>
  <c r="M260" i="10"/>
  <c r="K260" i="10"/>
  <c r="L191" i="10"/>
  <c r="O191" i="10"/>
  <c r="M191" i="10"/>
  <c r="N191" i="10"/>
  <c r="K191" i="10"/>
  <c r="L132" i="10"/>
  <c r="N132" i="10"/>
  <c r="O132" i="10"/>
  <c r="M132" i="10"/>
  <c r="K132" i="10"/>
  <c r="L71" i="10"/>
  <c r="N71" i="10"/>
  <c r="O71" i="10"/>
  <c r="M71" i="10"/>
  <c r="K71" i="10"/>
  <c r="N19" i="10"/>
  <c r="O19" i="10"/>
  <c r="L19" i="10"/>
  <c r="M19" i="10"/>
  <c r="K19" i="10"/>
  <c r="L264" i="10"/>
  <c r="O264" i="10"/>
  <c r="N264" i="10"/>
  <c r="M264" i="10"/>
  <c r="K264" i="10"/>
  <c r="N36" i="10"/>
  <c r="O36" i="10"/>
  <c r="M36" i="10"/>
  <c r="K36" i="10"/>
  <c r="L180" i="10"/>
  <c r="N180" i="10"/>
  <c r="O180" i="10"/>
  <c r="M180" i="10"/>
  <c r="K180" i="10"/>
  <c r="O13" i="10"/>
  <c r="L13" i="10"/>
  <c r="N13" i="10"/>
  <c r="M13" i="10"/>
  <c r="K13" i="10"/>
  <c r="O157" i="10"/>
  <c r="L157" i="10"/>
  <c r="N157" i="10"/>
  <c r="M157" i="10"/>
  <c r="K157" i="10"/>
  <c r="O304" i="10"/>
  <c r="L304" i="10"/>
  <c r="M304" i="10"/>
  <c r="N304" i="10"/>
  <c r="K304" i="10"/>
  <c r="O146" i="10"/>
  <c r="L146" i="10"/>
  <c r="N146" i="10"/>
  <c r="M146" i="10"/>
  <c r="K146" i="10"/>
  <c r="O293" i="10"/>
  <c r="L293" i="10"/>
  <c r="N293" i="10"/>
  <c r="M293" i="10"/>
  <c r="K293" i="10"/>
  <c r="O184" i="10"/>
  <c r="L184" i="10"/>
  <c r="N184" i="10"/>
  <c r="M184" i="10"/>
  <c r="K184" i="10"/>
  <c r="O29" i="10"/>
  <c r="L29" i="10"/>
  <c r="N29" i="10"/>
  <c r="M29" i="10"/>
  <c r="K29" i="10"/>
  <c r="O173" i="10"/>
  <c r="L173" i="10"/>
  <c r="N173" i="10"/>
  <c r="M173" i="10"/>
  <c r="K173" i="10"/>
  <c r="G191" i="18"/>
  <c r="H191" i="18" s="1"/>
  <c r="O196" i="10"/>
  <c r="L196" i="10"/>
  <c r="N196" i="10"/>
  <c r="M196" i="10"/>
  <c r="K196" i="10"/>
  <c r="O298" i="10"/>
  <c r="L298" i="10"/>
  <c r="M298" i="10"/>
  <c r="N298" i="10"/>
  <c r="K298" i="10"/>
  <c r="N20" i="10"/>
  <c r="O20" i="10"/>
  <c r="L20" i="10"/>
  <c r="M20" i="10"/>
  <c r="K20" i="10"/>
  <c r="O164" i="10"/>
  <c r="L164" i="10"/>
  <c r="M164" i="10"/>
  <c r="N164" i="10"/>
  <c r="K164" i="10"/>
  <c r="O213" i="10"/>
  <c r="L213" i="10"/>
  <c r="M213" i="10"/>
  <c r="N213" i="10"/>
  <c r="K213" i="10"/>
  <c r="O220" i="10"/>
  <c r="L220" i="10"/>
  <c r="N220" i="10"/>
  <c r="M220" i="10"/>
  <c r="K220" i="10"/>
  <c r="O134" i="10"/>
  <c r="L134" i="10"/>
  <c r="N134" i="10"/>
  <c r="M134" i="10"/>
  <c r="K134" i="10"/>
  <c r="O149" i="10"/>
  <c r="L149" i="10"/>
  <c r="N149" i="10"/>
  <c r="M149" i="10"/>
  <c r="K149" i="10"/>
  <c r="L39" i="10"/>
  <c r="M39" i="10"/>
  <c r="K39" i="10"/>
  <c r="N21" i="10"/>
  <c r="O21" i="10"/>
  <c r="L21" i="10"/>
  <c r="M21" i="10"/>
  <c r="K21" i="10"/>
  <c r="M40" i="10"/>
  <c r="O40" i="10"/>
  <c r="L40" i="10"/>
  <c r="N40" i="10"/>
  <c r="K40" i="10"/>
  <c r="N297" i="10"/>
  <c r="O297" i="10"/>
  <c r="L297" i="10"/>
  <c r="M297" i="10"/>
  <c r="K297" i="10"/>
  <c r="O248" i="10"/>
  <c r="L248" i="10"/>
  <c r="N248" i="10"/>
  <c r="M248" i="10"/>
  <c r="K248" i="10"/>
  <c r="O165" i="10"/>
  <c r="L165" i="10"/>
  <c r="M165" i="10"/>
  <c r="N165" i="10"/>
  <c r="K165" i="10"/>
  <c r="O78" i="10"/>
  <c r="L78" i="10"/>
  <c r="N78" i="10"/>
  <c r="M78" i="10"/>
  <c r="K78" i="10"/>
  <c r="N57" i="10"/>
  <c r="O57" i="10"/>
  <c r="L57" i="10"/>
  <c r="M57" i="10"/>
  <c r="K57" i="10"/>
  <c r="N22" i="10"/>
  <c r="O22" i="10"/>
  <c r="M22" i="10"/>
  <c r="K22" i="10"/>
  <c r="O274" i="10"/>
  <c r="L274" i="10"/>
  <c r="M274" i="10"/>
  <c r="N274" i="10"/>
  <c r="K274" i="10"/>
  <c r="L226" i="10"/>
  <c r="O226" i="10"/>
  <c r="N226" i="10"/>
  <c r="M226" i="10"/>
  <c r="K226" i="10"/>
  <c r="N187" i="10"/>
  <c r="O187" i="10"/>
  <c r="L187" i="10"/>
  <c r="M187" i="10"/>
  <c r="K187" i="10"/>
  <c r="O147" i="10"/>
  <c r="L147" i="10"/>
  <c r="N147" i="10"/>
  <c r="M147" i="10"/>
  <c r="K147" i="10"/>
  <c r="O87" i="10"/>
  <c r="L87" i="10"/>
  <c r="N87" i="10"/>
  <c r="M87" i="10"/>
  <c r="K87" i="10"/>
  <c r="N31" i="10"/>
  <c r="L31" i="10"/>
  <c r="M31" i="10"/>
  <c r="K31" i="10"/>
  <c r="N285" i="10"/>
  <c r="O285" i="10"/>
  <c r="L285" i="10"/>
  <c r="M285" i="10"/>
  <c r="K285" i="10"/>
  <c r="L214" i="10"/>
  <c r="O214" i="10"/>
  <c r="N214" i="10"/>
  <c r="M214" i="10"/>
  <c r="K214" i="10"/>
  <c r="O153" i="10"/>
  <c r="L153" i="10"/>
  <c r="M153" i="10"/>
  <c r="N153" i="10"/>
  <c r="K153" i="10"/>
  <c r="N93" i="10"/>
  <c r="O93" i="10"/>
  <c r="L93" i="10"/>
  <c r="M93" i="10"/>
  <c r="K93" i="10"/>
  <c r="L35" i="10"/>
  <c r="N35" i="10"/>
  <c r="M35" i="10"/>
  <c r="K35" i="10"/>
  <c r="L289" i="10"/>
  <c r="O289" i="10"/>
  <c r="N289" i="10"/>
  <c r="M289" i="10"/>
  <c r="K289" i="10"/>
  <c r="L48" i="10"/>
  <c r="O48" i="10"/>
  <c r="M48" i="10"/>
  <c r="K48" i="10"/>
  <c r="L192" i="10"/>
  <c r="N192" i="10"/>
  <c r="O192" i="10"/>
  <c r="M192" i="10"/>
  <c r="K192" i="10"/>
  <c r="O25" i="10"/>
  <c r="L25" i="10"/>
  <c r="N25" i="10"/>
  <c r="M25" i="10"/>
  <c r="K25" i="10"/>
  <c r="O169" i="10"/>
  <c r="L169" i="10"/>
  <c r="N169" i="10"/>
  <c r="M169" i="10"/>
  <c r="K169" i="10"/>
  <c r="O14" i="10"/>
  <c r="L14" i="10"/>
  <c r="N14" i="10"/>
  <c r="M14" i="10"/>
  <c r="K14" i="10"/>
  <c r="O158" i="10"/>
  <c r="L158" i="10"/>
  <c r="N158" i="10"/>
  <c r="M158" i="10"/>
  <c r="K158" i="10"/>
  <c r="O305" i="10"/>
  <c r="L305" i="10"/>
  <c r="N305" i="10"/>
  <c r="M305" i="10"/>
  <c r="K305" i="10"/>
  <c r="O197" i="10"/>
  <c r="L197" i="10"/>
  <c r="N197" i="10"/>
  <c r="M197" i="10"/>
  <c r="K197" i="10"/>
  <c r="O41" i="10"/>
  <c r="N41" i="10"/>
  <c r="M41" i="10"/>
  <c r="K41" i="10"/>
  <c r="O185" i="10"/>
  <c r="L185" i="10"/>
  <c r="N185" i="10"/>
  <c r="M185" i="10"/>
  <c r="K185" i="10"/>
  <c r="C5" i="18"/>
  <c r="G5" i="18" s="1"/>
  <c r="H5" i="18" s="1"/>
  <c r="C194" i="3"/>
  <c r="D194" i="3"/>
  <c r="E194" i="3"/>
  <c r="C196" i="9"/>
  <c r="D196" i="9"/>
  <c r="E196" i="9"/>
  <c r="F196" i="9"/>
  <c r="J196" i="9"/>
  <c r="O196" i="9"/>
  <c r="K196" i="9"/>
  <c r="F56" i="9"/>
  <c r="F40" i="9"/>
  <c r="F297" i="9"/>
  <c r="F248" i="9"/>
  <c r="F165" i="9"/>
  <c r="F67" i="9"/>
  <c r="F11" i="9"/>
  <c r="J11" i="9"/>
  <c r="F191" i="9"/>
  <c r="F132" i="9"/>
  <c r="F19" i="9"/>
  <c r="F36" i="9"/>
  <c r="F13" i="9"/>
  <c r="F304" i="9"/>
  <c r="F293" i="9"/>
  <c r="F173" i="9"/>
  <c r="F78" i="9"/>
  <c r="F22" i="9"/>
  <c r="C22" i="9"/>
  <c r="F226" i="9"/>
  <c r="F87" i="9"/>
  <c r="F285" i="9"/>
  <c r="F93" i="9"/>
  <c r="F289" i="9"/>
  <c r="F25" i="9"/>
  <c r="F14" i="9"/>
  <c r="F305" i="9"/>
  <c r="F185" i="9"/>
  <c r="F79" i="9"/>
  <c r="F298" i="9"/>
  <c r="F208" i="9"/>
  <c r="F47" i="9"/>
  <c r="F175" i="9"/>
  <c r="F313" i="9"/>
  <c r="F37" i="9"/>
  <c r="F26" i="9"/>
  <c r="F64" i="9"/>
  <c r="F198" i="9"/>
  <c r="F99" i="9"/>
  <c r="F23" i="9"/>
  <c r="F227" i="9"/>
  <c r="F68" i="9"/>
  <c r="F261" i="9"/>
  <c r="F75" i="9"/>
  <c r="F72" i="9"/>
  <c r="E75" i="30" s="1"/>
  <c r="F38" i="9"/>
  <c r="F210" i="9"/>
  <c r="F119" i="9"/>
  <c r="F43" i="9"/>
  <c r="F211" i="9"/>
  <c r="F90" i="9"/>
  <c r="F32" i="9"/>
  <c r="F215" i="9"/>
  <c r="F154" i="9"/>
  <c r="F84" i="9"/>
  <c r="F229" i="9"/>
  <c r="F61" i="9"/>
  <c r="F50" i="9"/>
  <c r="F194" i="9"/>
  <c r="F88" i="9"/>
  <c r="F77" i="9"/>
  <c r="F102" i="9"/>
  <c r="F228" i="9"/>
  <c r="F310" i="9"/>
  <c r="F265" i="9"/>
  <c r="F62" i="9"/>
  <c r="F234" i="9"/>
  <c r="F162" i="9"/>
  <c r="F120" i="9"/>
  <c r="F44" i="9"/>
  <c r="F252" i="9"/>
  <c r="F189" i="9"/>
  <c r="F69" i="9"/>
  <c r="F16" i="9"/>
  <c r="F262" i="9"/>
  <c r="F199" i="9"/>
  <c r="F139" i="9"/>
  <c r="F278" i="9"/>
  <c r="F108" i="9"/>
  <c r="F254" i="9"/>
  <c r="F85" i="9"/>
  <c r="F230" i="9"/>
  <c r="F74" i="9"/>
  <c r="C217" i="3"/>
  <c r="D217" i="3"/>
  <c r="E217" i="3"/>
  <c r="F219" i="9"/>
  <c r="F113" i="9"/>
  <c r="F258" i="9"/>
  <c r="F101" i="9"/>
  <c r="F246" i="9"/>
  <c r="F223" i="9"/>
  <c r="F179" i="9"/>
  <c r="F141" i="9"/>
  <c r="F103" i="9"/>
  <c r="F63" i="9"/>
  <c r="F28" i="9"/>
  <c r="F277" i="9"/>
  <c r="F212" i="9"/>
  <c r="F151" i="9"/>
  <c r="F91" i="9"/>
  <c r="F33" i="9"/>
  <c r="F287" i="9"/>
  <c r="F216" i="9"/>
  <c r="F155" i="9"/>
  <c r="F290" i="9"/>
  <c r="F121" i="9"/>
  <c r="F267" i="9"/>
  <c r="F97" i="9"/>
  <c r="F242" i="9"/>
  <c r="F86" i="9"/>
  <c r="C231" i="9"/>
  <c r="F231" i="9"/>
  <c r="F125" i="9"/>
  <c r="F271" i="9"/>
  <c r="F114" i="9"/>
  <c r="F259" i="9"/>
  <c r="F128" i="9"/>
  <c r="F71" i="9"/>
  <c r="F180" i="9"/>
  <c r="F184" i="9"/>
  <c r="F147" i="9"/>
  <c r="F214" i="9"/>
  <c r="F192" i="9"/>
  <c r="F197" i="9"/>
  <c r="F167" i="9"/>
  <c r="F60" i="9"/>
  <c r="F209" i="9"/>
  <c r="F140" i="9"/>
  <c r="F188" i="9"/>
  <c r="F195" i="9"/>
  <c r="F49" i="9"/>
  <c r="F221" i="9"/>
  <c r="F250" i="9"/>
  <c r="F253" i="9"/>
  <c r="F233" i="9"/>
  <c r="F276" i="9"/>
  <c r="F237" i="9"/>
  <c r="F73" i="9"/>
  <c r="F245" i="9"/>
  <c r="F201" i="9"/>
  <c r="F300" i="9"/>
  <c r="F163" i="9"/>
  <c r="F126" i="9"/>
  <c r="F92" i="9"/>
  <c r="F296" i="9"/>
  <c r="F204" i="9"/>
  <c r="F260" i="9"/>
  <c r="F264" i="9"/>
  <c r="F157" i="9"/>
  <c r="F146" i="9"/>
  <c r="F29" i="9"/>
  <c r="F57" i="9"/>
  <c r="F274" i="9"/>
  <c r="F187" i="9"/>
  <c r="F31" i="9"/>
  <c r="F153" i="9"/>
  <c r="F35" i="9"/>
  <c r="F48" i="9"/>
  <c r="F169" i="9"/>
  <c r="C156" i="3"/>
  <c r="D156" i="3"/>
  <c r="E156" i="3"/>
  <c r="F158" i="9"/>
  <c r="F41" i="9"/>
  <c r="F118" i="9"/>
  <c r="F42" i="9"/>
  <c r="F249" i="9"/>
  <c r="F106" i="9"/>
  <c r="F309" i="9"/>
  <c r="D309" i="9"/>
  <c r="F236" i="9"/>
  <c r="F116" i="9"/>
  <c r="F55" i="9"/>
  <c r="F205" i="9"/>
  <c r="F181" i="9"/>
  <c r="F170" i="9"/>
  <c r="F53" i="9"/>
  <c r="F58" i="9"/>
  <c r="D273" i="3"/>
  <c r="E273" i="3"/>
  <c r="C273" i="3"/>
  <c r="F275" i="9"/>
  <c r="F129" i="9"/>
  <c r="F15" i="9"/>
  <c r="F136" i="9"/>
  <c r="F240" i="9"/>
  <c r="F217" i="9"/>
  <c r="F193" i="9"/>
  <c r="F182" i="9"/>
  <c r="F76" i="9"/>
  <c r="F65" i="9"/>
  <c r="F159" i="9"/>
  <c r="F80" i="9"/>
  <c r="F299" i="9"/>
  <c r="F150" i="9"/>
  <c r="F286" i="9"/>
  <c r="F94" i="9"/>
  <c r="F206" i="9"/>
  <c r="F222" i="9"/>
  <c r="F178" i="9"/>
  <c r="F59" i="9"/>
  <c r="F27" i="9"/>
  <c r="F166" i="9"/>
  <c r="F107" i="9"/>
  <c r="F51" i="9"/>
  <c r="F176" i="9"/>
  <c r="F117" i="9"/>
  <c r="F96" i="9"/>
  <c r="F241" i="9"/>
  <c r="F218" i="9"/>
  <c r="F207" i="9"/>
  <c r="F100" i="9"/>
  <c r="F89" i="9"/>
  <c r="F81" i="9"/>
  <c r="F130" i="9"/>
  <c r="F244" i="9"/>
  <c r="F202" i="9"/>
  <c r="F124" i="9"/>
  <c r="F82" i="9"/>
  <c r="F45" i="9"/>
  <c r="F301" i="9"/>
  <c r="F232" i="9"/>
  <c r="F171" i="9"/>
  <c r="F110" i="9"/>
  <c r="F52" i="9"/>
  <c r="F311" i="9"/>
  <c r="F238" i="9"/>
  <c r="F177" i="9"/>
  <c r="F302" i="9"/>
  <c r="F133" i="9"/>
  <c r="F279" i="9"/>
  <c r="F109" i="9"/>
  <c r="F255" i="9"/>
  <c r="F98" i="9"/>
  <c r="F243" i="9"/>
  <c r="F137" i="9"/>
  <c r="F283" i="9"/>
  <c r="F272" i="9"/>
  <c r="F95" i="9"/>
  <c r="F270" i="9"/>
  <c r="F224" i="9"/>
  <c r="F183" i="9"/>
  <c r="F142" i="9"/>
  <c r="F104" i="9"/>
  <c r="F66" i="9"/>
  <c r="M10" i="10"/>
  <c r="D316" i="8"/>
  <c r="F257" i="9"/>
  <c r="F190" i="9"/>
  <c r="F131" i="9"/>
  <c r="F70" i="9"/>
  <c r="F18" i="9"/>
  <c r="F263" i="9"/>
  <c r="F200" i="9"/>
  <c r="F314" i="9"/>
  <c r="C314" i="9"/>
  <c r="F144" i="9"/>
  <c r="F291" i="9"/>
  <c r="F122" i="9"/>
  <c r="F268" i="9"/>
  <c r="E109" i="3"/>
  <c r="C109" i="3"/>
  <c r="F111" i="9"/>
  <c r="D109" i="3"/>
  <c r="C111" i="9"/>
  <c r="F256" i="9"/>
  <c r="F148" i="9"/>
  <c r="F295" i="9"/>
  <c r="F138" i="9"/>
  <c r="F284" i="9"/>
  <c r="F20" i="9"/>
  <c r="F294" i="9"/>
  <c r="F247" i="9"/>
  <c r="F203" i="9"/>
  <c r="F164" i="9"/>
  <c r="F127" i="9"/>
  <c r="F83" i="9"/>
  <c r="F30" i="9"/>
  <c r="F282" i="9"/>
  <c r="F213" i="9"/>
  <c r="F152" i="9"/>
  <c r="F34" i="9"/>
  <c r="F288" i="9"/>
  <c r="F220" i="9"/>
  <c r="F12" i="9"/>
  <c r="F156" i="9"/>
  <c r="F303" i="9"/>
  <c r="F134" i="9"/>
  <c r="F280" i="9"/>
  <c r="F123" i="9"/>
  <c r="F269" i="9"/>
  <c r="F160" i="9"/>
  <c r="F307" i="9"/>
  <c r="F149" i="9"/>
  <c r="F39" i="9"/>
  <c r="F21" i="9"/>
  <c r="C21" i="9"/>
  <c r="F273" i="9"/>
  <c r="F225" i="9"/>
  <c r="F186" i="9"/>
  <c r="F143" i="9"/>
  <c r="F105" i="9"/>
  <c r="F46" i="9"/>
  <c r="F306" i="9"/>
  <c r="F235" i="9"/>
  <c r="F174" i="9"/>
  <c r="F115" i="9"/>
  <c r="F54" i="9"/>
  <c r="F312" i="9"/>
  <c r="F239" i="9"/>
  <c r="F24" i="9"/>
  <c r="F168" i="9"/>
  <c r="C315" i="9"/>
  <c r="F315" i="9"/>
  <c r="O315" i="9"/>
  <c r="K315" i="9"/>
  <c r="J315" i="9"/>
  <c r="E315" i="9"/>
  <c r="D315" i="9"/>
  <c r="F145" i="9"/>
  <c r="F292" i="9"/>
  <c r="F135" i="9"/>
  <c r="F281" i="9"/>
  <c r="F172" i="9"/>
  <c r="F17" i="9"/>
  <c r="F161" i="9"/>
  <c r="F308" i="9"/>
  <c r="E307" i="9"/>
  <c r="N332" i="9"/>
  <c r="I332" i="9"/>
  <c r="P6" i="13"/>
  <c r="P33" i="13"/>
  <c r="P9" i="13"/>
  <c r="E313" i="3"/>
  <c r="D313" i="3"/>
  <c r="C313" i="3"/>
  <c r="E312" i="3"/>
  <c r="D312" i="3"/>
  <c r="C312" i="3"/>
  <c r="E311" i="3"/>
  <c r="D311" i="3"/>
  <c r="C311" i="3"/>
  <c r="E310" i="3"/>
  <c r="D310" i="3"/>
  <c r="C310" i="3"/>
  <c r="E309" i="3"/>
  <c r="D309" i="3"/>
  <c r="C309" i="3"/>
  <c r="E308" i="3"/>
  <c r="D308" i="3"/>
  <c r="C308" i="3"/>
  <c r="E307" i="3"/>
  <c r="D307" i="3"/>
  <c r="C307" i="3"/>
  <c r="E306" i="3"/>
  <c r="D306" i="3"/>
  <c r="C306" i="3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5" i="3"/>
  <c r="D295" i="3"/>
  <c r="C295" i="3"/>
  <c r="E294" i="3"/>
  <c r="D294" i="3"/>
  <c r="C294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5" i="3"/>
  <c r="D285" i="3"/>
  <c r="C285" i="3"/>
  <c r="E284" i="3"/>
  <c r="D284" i="3"/>
  <c r="C284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4" i="3"/>
  <c r="D274" i="3"/>
  <c r="C274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40" i="3"/>
  <c r="D240" i="3"/>
  <c r="C240" i="3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8" i="3"/>
  <c r="D158" i="3"/>
  <c r="C158" i="3"/>
  <c r="E157" i="3"/>
  <c r="D157" i="3"/>
  <c r="C157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6" i="3"/>
  <c r="D16" i="3"/>
  <c r="C16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P322" i="9"/>
  <c r="Q322" i="9" s="1"/>
  <c r="P321" i="9"/>
  <c r="Q321" i="9" s="1"/>
  <c r="P320" i="9"/>
  <c r="Q320" i="9" s="1"/>
  <c r="P319" i="9"/>
  <c r="Q319" i="9" s="1"/>
  <c r="G305" i="18"/>
  <c r="H305" i="18" s="1"/>
  <c r="K239" i="9"/>
  <c r="J239" i="9"/>
  <c r="D239" i="9"/>
  <c r="C239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0" i="9"/>
  <c r="J249" i="9"/>
  <c r="J248" i="9"/>
  <c r="J247" i="9"/>
  <c r="J246" i="9"/>
  <c r="J245" i="9"/>
  <c r="J244" i="9"/>
  <c r="J243" i="9"/>
  <c r="J242" i="9"/>
  <c r="J241" i="9"/>
  <c r="J240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6" i="9"/>
  <c r="J167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0" i="9"/>
  <c r="J111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D314" i="9"/>
  <c r="D313" i="9"/>
  <c r="D312" i="9"/>
  <c r="D311" i="9"/>
  <c r="D310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0" i="9"/>
  <c r="D249" i="9"/>
  <c r="D248" i="9"/>
  <c r="D247" i="9"/>
  <c r="D246" i="9"/>
  <c r="D245" i="9"/>
  <c r="D244" i="9"/>
  <c r="D243" i="9"/>
  <c r="D242" i="9"/>
  <c r="D241" i="9"/>
  <c r="D240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6" i="9"/>
  <c r="D167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0" i="9"/>
  <c r="D111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0" i="9"/>
  <c r="K249" i="9"/>
  <c r="K248" i="9"/>
  <c r="K247" i="9"/>
  <c r="K246" i="9"/>
  <c r="K245" i="9"/>
  <c r="K244" i="9"/>
  <c r="K243" i="9"/>
  <c r="K242" i="9"/>
  <c r="K241" i="9"/>
  <c r="K240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6" i="9"/>
  <c r="K167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0" i="9"/>
  <c r="K111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E89" i="30" s="1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0" i="9"/>
  <c r="C249" i="9"/>
  <c r="C248" i="9"/>
  <c r="C247" i="9"/>
  <c r="C246" i="9"/>
  <c r="C245" i="9"/>
  <c r="C244" i="9"/>
  <c r="C243" i="9"/>
  <c r="C242" i="9"/>
  <c r="C241" i="9"/>
  <c r="C240" i="9"/>
  <c r="C238" i="9"/>
  <c r="C237" i="9"/>
  <c r="C236" i="9"/>
  <c r="C235" i="9"/>
  <c r="C234" i="9"/>
  <c r="C233" i="9"/>
  <c r="C232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6" i="9"/>
  <c r="C167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C17" i="9"/>
  <c r="C16" i="9"/>
  <c r="C15" i="9"/>
  <c r="C14" i="9"/>
  <c r="C13" i="9"/>
  <c r="C12" i="9"/>
  <c r="C11" i="9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3" i="8"/>
  <c r="P16" i="13"/>
  <c r="P28" i="13"/>
  <c r="P34" i="13"/>
  <c r="P27" i="13"/>
  <c r="H18" i="11"/>
  <c r="N18" i="13"/>
  <c r="L18" i="13"/>
  <c r="J18" i="13"/>
  <c r="AA324" i="22"/>
  <c r="Q324" i="10"/>
  <c r="Q319" i="10"/>
  <c r="Q322" i="10"/>
  <c r="Q323" i="10"/>
  <c r="Q321" i="10"/>
  <c r="Q320" i="10"/>
  <c r="X324" i="22"/>
  <c r="Y324" i="22"/>
  <c r="E68" i="30" l="1"/>
  <c r="E58" i="30"/>
  <c r="E54" i="30"/>
  <c r="E59" i="30"/>
  <c r="E60" i="30"/>
  <c r="E87" i="30"/>
  <c r="E28" i="30"/>
  <c r="E33" i="30" s="1"/>
  <c r="E52" i="30"/>
  <c r="E53" i="30"/>
  <c r="T32" i="13"/>
  <c r="L5" i="18"/>
  <c r="AD8" i="22"/>
  <c r="L305" i="18"/>
  <c r="M305" i="18" s="1"/>
  <c r="N305" i="18" s="1"/>
  <c r="O305" i="18" s="1"/>
  <c r="AD307" i="22"/>
  <c r="AD192" i="22"/>
  <c r="L191" i="18"/>
  <c r="M191" i="18" s="1"/>
  <c r="N191" i="18" s="1"/>
  <c r="O191" i="18" s="1"/>
  <c r="N332" i="10"/>
  <c r="L332" i="10"/>
  <c r="M332" i="10"/>
  <c r="K332" i="10"/>
  <c r="O332" i="10"/>
  <c r="G314" i="22"/>
  <c r="AQ314" i="22" s="1"/>
  <c r="U316" i="10" s="1"/>
  <c r="C320" i="29"/>
  <c r="D320" i="29"/>
  <c r="E320" i="29"/>
  <c r="AA18" i="13"/>
  <c r="Z18" i="13"/>
  <c r="L18" i="11"/>
  <c r="C323" i="10"/>
  <c r="C322" i="10"/>
  <c r="C324" i="10"/>
  <c r="C319" i="10"/>
  <c r="C321" i="10"/>
  <c r="C320" i="10"/>
  <c r="I191" i="18"/>
  <c r="C313" i="18"/>
  <c r="Y38" i="13"/>
  <c r="N8" i="3"/>
  <c r="F332" i="9"/>
  <c r="P38" i="13"/>
  <c r="C332" i="9"/>
  <c r="J332" i="9"/>
  <c r="G7" i="18"/>
  <c r="H7" i="18" s="1"/>
  <c r="G309" i="18"/>
  <c r="H309" i="18" s="1"/>
  <c r="G310" i="18"/>
  <c r="H310" i="18" s="1"/>
  <c r="G308" i="18"/>
  <c r="H308" i="18" s="1"/>
  <c r="G6" i="18"/>
  <c r="H6" i="18" s="1"/>
  <c r="T320" i="10"/>
  <c r="T322" i="10"/>
  <c r="T323" i="10"/>
  <c r="T321" i="10"/>
  <c r="T324" i="10"/>
  <c r="T319" i="10"/>
  <c r="K332" i="9"/>
  <c r="D332" i="9"/>
  <c r="AE35" i="13"/>
  <c r="P10" i="13"/>
  <c r="Y10" i="13" s="1"/>
  <c r="AE33" i="13"/>
  <c r="G234" i="18"/>
  <c r="H234" i="18" s="1"/>
  <c r="AE29" i="13"/>
  <c r="G10" i="18"/>
  <c r="H10" i="18" s="1"/>
  <c r="G292" i="18"/>
  <c r="H292" i="18" s="1"/>
  <c r="E313" i="18"/>
  <c r="G120" i="18"/>
  <c r="H120" i="18" s="1"/>
  <c r="G30" i="18"/>
  <c r="H30" i="18" s="1"/>
  <c r="G186" i="18"/>
  <c r="H186" i="18" s="1"/>
  <c r="E117" i="30" l="1"/>
  <c r="R38" i="13"/>
  <c r="T13" i="13"/>
  <c r="P18" i="13"/>
  <c r="AE10" i="13"/>
  <c r="L310" i="18"/>
  <c r="M310" i="18" s="1"/>
  <c r="N310" i="18" s="1"/>
  <c r="O310" i="18" s="1"/>
  <c r="AD313" i="22"/>
  <c r="AD312" i="22"/>
  <c r="L309" i="18"/>
  <c r="M309" i="18" s="1"/>
  <c r="N309" i="18" s="1"/>
  <c r="O309" i="18" s="1"/>
  <c r="AD32" i="22"/>
  <c r="L30" i="18"/>
  <c r="M30" i="18" s="1"/>
  <c r="N30" i="18" s="1"/>
  <c r="O30" i="18" s="1"/>
  <c r="AD188" i="22"/>
  <c r="L186" i="18"/>
  <c r="M186" i="18" s="1"/>
  <c r="N186" i="18" s="1"/>
  <c r="O186" i="18" s="1"/>
  <c r="AD122" i="22"/>
  <c r="L120" i="18"/>
  <c r="M120" i="18" s="1"/>
  <c r="N120" i="18" s="1"/>
  <c r="O120" i="18" s="1"/>
  <c r="AD10" i="22"/>
  <c r="L7" i="18"/>
  <c r="M7" i="18" s="1"/>
  <c r="N7" i="18" s="1"/>
  <c r="O7" i="18" s="1"/>
  <c r="AD295" i="22"/>
  <c r="L292" i="18"/>
  <c r="M292" i="18" s="1"/>
  <c r="N292" i="18" s="1"/>
  <c r="O292" i="18" s="1"/>
  <c r="AD13" i="22"/>
  <c r="L10" i="18"/>
  <c r="M10" i="18" s="1"/>
  <c r="N10" i="18" s="1"/>
  <c r="O10" i="18" s="1"/>
  <c r="AD237" i="22"/>
  <c r="P239" i="9" s="1"/>
  <c r="L234" i="18"/>
  <c r="M234" i="18" s="1"/>
  <c r="N234" i="18" s="1"/>
  <c r="O234" i="18" s="1"/>
  <c r="AD9" i="22"/>
  <c r="L6" i="18"/>
  <c r="M6" i="18" s="1"/>
  <c r="N6" i="18" s="1"/>
  <c r="O6" i="18" s="1"/>
  <c r="L308" i="18"/>
  <c r="M308" i="18" s="1"/>
  <c r="N308" i="18" s="1"/>
  <c r="O308" i="18" s="1"/>
  <c r="AD310" i="22"/>
  <c r="F192" i="22"/>
  <c r="AP192" i="22" s="1"/>
  <c r="P191" i="18"/>
  <c r="AF314" i="22"/>
  <c r="AG314" i="22"/>
  <c r="M5" i="18"/>
  <c r="C8" i="22"/>
  <c r="AM8" i="22" s="1"/>
  <c r="Q10" i="10" s="1"/>
  <c r="E192" i="22"/>
  <c r="AO192" i="22" s="1"/>
  <c r="AE9" i="13"/>
  <c r="Y18" i="13"/>
  <c r="Y40" i="13" s="1"/>
  <c r="D192" i="22"/>
  <c r="AN192" i="22" s="1"/>
  <c r="R322" i="10"/>
  <c r="D322" i="10" s="1"/>
  <c r="R324" i="10"/>
  <c r="D324" i="10" s="1"/>
  <c r="R321" i="10"/>
  <c r="D321" i="10" s="1"/>
  <c r="R319" i="10"/>
  <c r="D319" i="10" s="1"/>
  <c r="R323" i="10"/>
  <c r="D323" i="10" s="1"/>
  <c r="R320" i="10"/>
  <c r="D320" i="10" s="1"/>
  <c r="F322" i="10"/>
  <c r="F323" i="10"/>
  <c r="F324" i="10"/>
  <c r="F321" i="10"/>
  <c r="F319" i="10"/>
  <c r="F320" i="10"/>
  <c r="I5" i="18"/>
  <c r="Q311" i="18"/>
  <c r="P10" i="9"/>
  <c r="AE16" i="13"/>
  <c r="AE28" i="13"/>
  <c r="AE6" i="13"/>
  <c r="AE27" i="13"/>
  <c r="I305" i="18"/>
  <c r="P305" i="18" s="1"/>
  <c r="G219" i="18"/>
  <c r="H219" i="18" s="1"/>
  <c r="G56" i="18"/>
  <c r="H56" i="18" s="1"/>
  <c r="G204" i="18"/>
  <c r="H204" i="18" s="1"/>
  <c r="G129" i="18"/>
  <c r="H129" i="18" s="1"/>
  <c r="G156" i="18"/>
  <c r="H156" i="18" s="1"/>
  <c r="G95" i="18"/>
  <c r="H95" i="18" s="1"/>
  <c r="G198" i="18"/>
  <c r="H198" i="18" s="1"/>
  <c r="G295" i="18"/>
  <c r="H295" i="18" s="1"/>
  <c r="G91" i="18"/>
  <c r="H91" i="18" s="1"/>
  <c r="G164" i="18"/>
  <c r="H164" i="18" s="1"/>
  <c r="G248" i="18"/>
  <c r="H248" i="18" s="1"/>
  <c r="G140" i="18"/>
  <c r="H140" i="18" s="1"/>
  <c r="G104" i="18"/>
  <c r="H104" i="18" s="1"/>
  <c r="G239" i="18"/>
  <c r="H239" i="18" s="1"/>
  <c r="G47" i="18"/>
  <c r="H47" i="18" s="1"/>
  <c r="G9" i="18"/>
  <c r="H9" i="18" s="1"/>
  <c r="G62" i="18"/>
  <c r="H62" i="18" s="1"/>
  <c r="G147" i="18"/>
  <c r="H147" i="18" s="1"/>
  <c r="G152" i="18"/>
  <c r="H152" i="18" s="1"/>
  <c r="G254" i="18"/>
  <c r="H254" i="18" s="1"/>
  <c r="G175" i="18"/>
  <c r="H175" i="18" s="1"/>
  <c r="G178" i="18"/>
  <c r="H178" i="18" s="1"/>
  <c r="G24" i="18"/>
  <c r="H24" i="18" s="1"/>
  <c r="G51" i="18"/>
  <c r="H51" i="18" s="1"/>
  <c r="G119" i="18"/>
  <c r="H119" i="18" s="1"/>
  <c r="G53" i="18"/>
  <c r="H53" i="18" s="1"/>
  <c r="G163" i="18"/>
  <c r="H163" i="18" s="1"/>
  <c r="G64" i="18"/>
  <c r="H64" i="18" s="1"/>
  <c r="G46" i="18"/>
  <c r="H46" i="18" s="1"/>
  <c r="G66" i="18"/>
  <c r="H66" i="18" s="1"/>
  <c r="G165" i="18"/>
  <c r="H165" i="18" s="1"/>
  <c r="G143" i="18"/>
  <c r="H143" i="18" s="1"/>
  <c r="G244" i="18"/>
  <c r="H244" i="18" s="1"/>
  <c r="G216" i="18"/>
  <c r="H216" i="18" s="1"/>
  <c r="G287" i="18"/>
  <c r="H287" i="18" s="1"/>
  <c r="G297" i="18"/>
  <c r="H297" i="18" s="1"/>
  <c r="G279" i="18"/>
  <c r="H279" i="18" s="1"/>
  <c r="G223" i="18"/>
  <c r="H223" i="18" s="1"/>
  <c r="G300" i="18"/>
  <c r="H300" i="18" s="1"/>
  <c r="G266" i="18"/>
  <c r="H266" i="18" s="1"/>
  <c r="G289" i="18"/>
  <c r="H289" i="18" s="1"/>
  <c r="G60" i="18"/>
  <c r="H60" i="18" s="1"/>
  <c r="G231" i="18"/>
  <c r="H231" i="18" s="1"/>
  <c r="G205" i="18"/>
  <c r="H205" i="18" s="1"/>
  <c r="G134" i="18"/>
  <c r="H134" i="18" s="1"/>
  <c r="G267" i="18"/>
  <c r="H267" i="18" s="1"/>
  <c r="G127" i="18"/>
  <c r="H127" i="18" s="1"/>
  <c r="G37" i="18"/>
  <c r="H37" i="18" s="1"/>
  <c r="G101" i="18"/>
  <c r="H101" i="18" s="1"/>
  <c r="G13" i="18"/>
  <c r="H13" i="18" s="1"/>
  <c r="G200" i="18"/>
  <c r="H200" i="18" s="1"/>
  <c r="G49" i="18"/>
  <c r="H49" i="18" s="1"/>
  <c r="G126" i="18"/>
  <c r="H126" i="18" s="1"/>
  <c r="G208" i="18"/>
  <c r="H208" i="18" s="1"/>
  <c r="G154" i="18"/>
  <c r="H154" i="18" s="1"/>
  <c r="G52" i="18"/>
  <c r="H52" i="18" s="1"/>
  <c r="G260" i="18"/>
  <c r="H260" i="18" s="1"/>
  <c r="G173" i="18"/>
  <c r="H173" i="18" s="1"/>
  <c r="G268" i="18"/>
  <c r="H268" i="18" s="1"/>
  <c r="G306" i="18"/>
  <c r="H306" i="18" s="1"/>
  <c r="G33" i="18"/>
  <c r="H33" i="18" s="1"/>
  <c r="G72" i="18"/>
  <c r="H72" i="18" s="1"/>
  <c r="G203" i="18"/>
  <c r="H203" i="18" s="1"/>
  <c r="G280" i="18"/>
  <c r="H280" i="18" s="1"/>
  <c r="G194" i="18"/>
  <c r="H194" i="18" s="1"/>
  <c r="G98" i="18"/>
  <c r="H98" i="18" s="1"/>
  <c r="G232" i="18"/>
  <c r="H232" i="18" s="1"/>
  <c r="G187" i="18"/>
  <c r="H187" i="18" s="1"/>
  <c r="G259" i="18"/>
  <c r="H259" i="18" s="1"/>
  <c r="G269" i="18"/>
  <c r="H269" i="18" s="1"/>
  <c r="G240" i="18"/>
  <c r="H240" i="18" s="1"/>
  <c r="G202" i="18"/>
  <c r="H202" i="18" s="1"/>
  <c r="G230" i="18"/>
  <c r="H230" i="18" s="1"/>
  <c r="G92" i="18"/>
  <c r="H92" i="18" s="1"/>
  <c r="G245" i="18"/>
  <c r="H245" i="18" s="1"/>
  <c r="G167" i="18"/>
  <c r="H167" i="18" s="1"/>
  <c r="G307" i="18"/>
  <c r="H307" i="18" s="1"/>
  <c r="G89" i="18"/>
  <c r="H89" i="18" s="1"/>
  <c r="G133" i="18"/>
  <c r="H133" i="18" s="1"/>
  <c r="G233" i="18"/>
  <c r="H233" i="18" s="1"/>
  <c r="G229" i="18"/>
  <c r="H229" i="18" s="1"/>
  <c r="G96" i="18"/>
  <c r="H96" i="18" s="1"/>
  <c r="G209" i="18"/>
  <c r="H209" i="18" s="1"/>
  <c r="G303" i="18"/>
  <c r="H303" i="18" s="1"/>
  <c r="G141" i="18"/>
  <c r="H141" i="18" s="1"/>
  <c r="G172" i="18"/>
  <c r="H172" i="18" s="1"/>
  <c r="G275" i="18"/>
  <c r="H275" i="18" s="1"/>
  <c r="G243" i="18"/>
  <c r="H243" i="18" s="1"/>
  <c r="G258" i="18"/>
  <c r="H258" i="18" s="1"/>
  <c r="G36" i="18"/>
  <c r="H36" i="18" s="1"/>
  <c r="G274" i="18"/>
  <c r="H274" i="18" s="1"/>
  <c r="G157" i="18"/>
  <c r="H157" i="18" s="1"/>
  <c r="G190" i="18"/>
  <c r="H190" i="18" s="1"/>
  <c r="G149" i="18"/>
  <c r="H149" i="18" s="1"/>
  <c r="G189" i="18"/>
  <c r="H189" i="18" s="1"/>
  <c r="G158" i="18"/>
  <c r="H158" i="18" s="1"/>
  <c r="G29" i="18"/>
  <c r="H29" i="18" s="1"/>
  <c r="G135" i="18"/>
  <c r="H135" i="18" s="1"/>
  <c r="G71" i="18"/>
  <c r="H71" i="18" s="1"/>
  <c r="G105" i="18"/>
  <c r="H105" i="18" s="1"/>
  <c r="G108" i="18"/>
  <c r="H108" i="18" s="1"/>
  <c r="G170" i="18"/>
  <c r="H170" i="18" s="1"/>
  <c r="G21" i="18"/>
  <c r="H21" i="18" s="1"/>
  <c r="G81" i="18"/>
  <c r="H81" i="18" s="1"/>
  <c r="G109" i="18"/>
  <c r="H109" i="18" s="1"/>
  <c r="G97" i="18"/>
  <c r="H97" i="18" s="1"/>
  <c r="G199" i="18"/>
  <c r="H199" i="18" s="1"/>
  <c r="G271" i="18"/>
  <c r="H271" i="18" s="1"/>
  <c r="G161" i="18"/>
  <c r="H161" i="18" s="1"/>
  <c r="G281" i="18"/>
  <c r="H281" i="18" s="1"/>
  <c r="G65" i="18"/>
  <c r="H65" i="18" s="1"/>
  <c r="G67" i="18"/>
  <c r="H67" i="18" s="1"/>
  <c r="G220" i="18"/>
  <c r="H220" i="18" s="1"/>
  <c r="G87" i="18"/>
  <c r="H87" i="18" s="1"/>
  <c r="G185" i="18"/>
  <c r="H185" i="18" s="1"/>
  <c r="G136" i="18"/>
  <c r="H136" i="18" s="1"/>
  <c r="G99" i="18"/>
  <c r="H99" i="18" s="1"/>
  <c r="G128" i="18"/>
  <c r="H128" i="18" s="1"/>
  <c r="G142" i="18"/>
  <c r="H142" i="18" s="1"/>
  <c r="G184" i="18"/>
  <c r="H184" i="18" s="1"/>
  <c r="G85" i="18"/>
  <c r="H85" i="18" s="1"/>
  <c r="G114" i="18"/>
  <c r="H114" i="18" s="1"/>
  <c r="G145" i="18"/>
  <c r="H145" i="18" s="1"/>
  <c r="G22" i="18"/>
  <c r="H22" i="18" s="1"/>
  <c r="G263" i="18"/>
  <c r="H263" i="18" s="1"/>
  <c r="G139" i="18"/>
  <c r="H139" i="18" s="1"/>
  <c r="G242" i="18"/>
  <c r="H242" i="18" s="1"/>
  <c r="G118" i="18"/>
  <c r="H118" i="18" s="1"/>
  <c r="G286" i="18"/>
  <c r="H286" i="18" s="1"/>
  <c r="G125" i="18"/>
  <c r="H125" i="18" s="1"/>
  <c r="G262" i="18"/>
  <c r="H262" i="18" s="1"/>
  <c r="G88" i="18"/>
  <c r="H88" i="18" s="1"/>
  <c r="G196" i="18"/>
  <c r="H196" i="18" s="1"/>
  <c r="G298" i="18"/>
  <c r="H298" i="18" s="1"/>
  <c r="G177" i="18"/>
  <c r="H177" i="18" s="1"/>
  <c r="G211" i="18"/>
  <c r="H211" i="18" s="1"/>
  <c r="G236" i="18"/>
  <c r="H236" i="18" s="1"/>
  <c r="G225" i="18"/>
  <c r="H225" i="18" s="1"/>
  <c r="G197" i="18"/>
  <c r="H197" i="18" s="1"/>
  <c r="G116" i="18"/>
  <c r="H116" i="18" s="1"/>
  <c r="G61" i="18"/>
  <c r="H61" i="18" s="1"/>
  <c r="G70" i="18"/>
  <c r="H70" i="18" s="1"/>
  <c r="G130" i="18"/>
  <c r="H130" i="18" s="1"/>
  <c r="G180" i="18"/>
  <c r="H180" i="18" s="1"/>
  <c r="G168" i="18"/>
  <c r="H168" i="18" s="1"/>
  <c r="G215" i="18"/>
  <c r="H215" i="18" s="1"/>
  <c r="G276" i="18"/>
  <c r="H276" i="18" s="1"/>
  <c r="G40" i="18"/>
  <c r="H40" i="18" s="1"/>
  <c r="G132" i="18"/>
  <c r="H132" i="18" s="1"/>
  <c r="G224" i="18"/>
  <c r="H224" i="18" s="1"/>
  <c r="G111" i="18"/>
  <c r="H111" i="18" s="1"/>
  <c r="G26" i="18"/>
  <c r="H26" i="18" s="1"/>
  <c r="G246" i="18"/>
  <c r="H246" i="18" s="1"/>
  <c r="G213" i="18"/>
  <c r="H213" i="18" s="1"/>
  <c r="G110" i="18"/>
  <c r="H110" i="18" s="1"/>
  <c r="G122" i="18"/>
  <c r="H122" i="18" s="1"/>
  <c r="G107" i="18"/>
  <c r="H107" i="18" s="1"/>
  <c r="G278" i="18"/>
  <c r="H278" i="18" s="1"/>
  <c r="G23" i="18"/>
  <c r="H23" i="18" s="1"/>
  <c r="G160" i="18"/>
  <c r="H160" i="18" s="1"/>
  <c r="G270" i="18"/>
  <c r="H270" i="18" s="1"/>
  <c r="G210" i="18"/>
  <c r="H210" i="18" s="1"/>
  <c r="G195" i="18"/>
  <c r="H195" i="18" s="1"/>
  <c r="G285" i="18"/>
  <c r="H285" i="18" s="1"/>
  <c r="G272" i="18"/>
  <c r="H272" i="18" s="1"/>
  <c r="G238" i="18"/>
  <c r="H238" i="18" s="1"/>
  <c r="G166" i="18"/>
  <c r="H166" i="18" s="1"/>
  <c r="G144" i="18"/>
  <c r="H144" i="18" s="1"/>
  <c r="G137" i="18"/>
  <c r="H137" i="18" s="1"/>
  <c r="G28" i="18"/>
  <c r="H28" i="18" s="1"/>
  <c r="G247" i="18"/>
  <c r="H247" i="18" s="1"/>
  <c r="G162" i="18"/>
  <c r="H162" i="18" s="1"/>
  <c r="G251" i="18"/>
  <c r="H251" i="18" s="1"/>
  <c r="G217" i="18"/>
  <c r="H217" i="18" s="1"/>
  <c r="G31" i="18"/>
  <c r="H31" i="18" s="1"/>
  <c r="G296" i="18"/>
  <c r="H296" i="18" s="1"/>
  <c r="G265" i="18"/>
  <c r="H265" i="18" s="1"/>
  <c r="G304" i="18"/>
  <c r="H304" i="18" s="1"/>
  <c r="G83" i="18"/>
  <c r="H83" i="18" s="1"/>
  <c r="G255" i="18"/>
  <c r="H255" i="18" s="1"/>
  <c r="G169" i="18"/>
  <c r="H169" i="18" s="1"/>
  <c r="G188" i="18"/>
  <c r="H188" i="18" s="1"/>
  <c r="G77" i="18"/>
  <c r="H77" i="18" s="1"/>
  <c r="G235" i="18"/>
  <c r="H235" i="18" s="1"/>
  <c r="G55" i="18"/>
  <c r="H55" i="18" s="1"/>
  <c r="G293" i="18"/>
  <c r="H293" i="18" s="1"/>
  <c r="G131" i="18"/>
  <c r="H131" i="18" s="1"/>
  <c r="G241" i="18"/>
  <c r="H241" i="18" s="1"/>
  <c r="G214" i="18"/>
  <c r="H214" i="18" s="1"/>
  <c r="G273" i="18"/>
  <c r="H273" i="18" s="1"/>
  <c r="G256" i="18"/>
  <c r="H256" i="18" s="1"/>
  <c r="G17" i="18"/>
  <c r="H17" i="18" s="1"/>
  <c r="G63" i="18"/>
  <c r="H63" i="18" s="1"/>
  <c r="G227" i="18"/>
  <c r="H227" i="18" s="1"/>
  <c r="G82" i="18"/>
  <c r="H82" i="18" s="1"/>
  <c r="G206" i="18"/>
  <c r="H206" i="18" s="1"/>
  <c r="G252" i="18"/>
  <c r="H252" i="18" s="1"/>
  <c r="G138" i="18"/>
  <c r="H138" i="18" s="1"/>
  <c r="G218" i="18"/>
  <c r="H218" i="18" s="1"/>
  <c r="G32" i="18"/>
  <c r="H32" i="18" s="1"/>
  <c r="G34" i="18"/>
  <c r="H34" i="18" s="1"/>
  <c r="G78" i="18"/>
  <c r="H78" i="18" s="1"/>
  <c r="G301" i="18"/>
  <c r="H301" i="18" s="1"/>
  <c r="G45" i="18"/>
  <c r="H45" i="18" s="1"/>
  <c r="G43" i="18"/>
  <c r="H43" i="18" s="1"/>
  <c r="G54" i="18"/>
  <c r="H54" i="18" s="1"/>
  <c r="G253" i="18"/>
  <c r="H253" i="18" s="1"/>
  <c r="G148" i="18"/>
  <c r="H148" i="18" s="1"/>
  <c r="G50" i="18"/>
  <c r="H50" i="18" s="1"/>
  <c r="G290" i="18"/>
  <c r="H290" i="18" s="1"/>
  <c r="G124" i="18"/>
  <c r="H124" i="18" s="1"/>
  <c r="G80" i="18"/>
  <c r="H80" i="18" s="1"/>
  <c r="G14" i="18"/>
  <c r="H14" i="18" s="1"/>
  <c r="G264" i="18"/>
  <c r="H264" i="18" s="1"/>
  <c r="G68" i="18"/>
  <c r="H68" i="18" s="1"/>
  <c r="G117" i="18"/>
  <c r="H117" i="18" s="1"/>
  <c r="G102" i="18"/>
  <c r="H102" i="18" s="1"/>
  <c r="G299" i="18"/>
  <c r="H299" i="18" s="1"/>
  <c r="G113" i="18"/>
  <c r="H113" i="18" s="1"/>
  <c r="G181" i="18"/>
  <c r="H181" i="18" s="1"/>
  <c r="G18" i="18"/>
  <c r="H18" i="18" s="1"/>
  <c r="G237" i="18"/>
  <c r="H237" i="18" s="1"/>
  <c r="G179" i="18"/>
  <c r="H179" i="18" s="1"/>
  <c r="G193" i="18"/>
  <c r="H193" i="18" s="1"/>
  <c r="G8" i="18"/>
  <c r="H8" i="18" s="1"/>
  <c r="G282" i="18"/>
  <c r="H282" i="18" s="1"/>
  <c r="G103" i="18"/>
  <c r="H103" i="18" s="1"/>
  <c r="G226" i="18"/>
  <c r="H226" i="18" s="1"/>
  <c r="G58" i="18"/>
  <c r="H58" i="18" s="1"/>
  <c r="G222" i="18"/>
  <c r="H222" i="18" s="1"/>
  <c r="G150" i="18"/>
  <c r="H150" i="18" s="1"/>
  <c r="G182" i="18"/>
  <c r="H182" i="18" s="1"/>
  <c r="G25" i="18"/>
  <c r="H25" i="18" s="1"/>
  <c r="G277" i="18"/>
  <c r="H277" i="18" s="1"/>
  <c r="G151" i="18"/>
  <c r="H151" i="18" s="1"/>
  <c r="G294" i="18"/>
  <c r="H294" i="18" s="1"/>
  <c r="G288" i="18"/>
  <c r="H288" i="18" s="1"/>
  <c r="G221" i="18"/>
  <c r="H221" i="18" s="1"/>
  <c r="G302" i="18"/>
  <c r="H302" i="18" s="1"/>
  <c r="G257" i="18"/>
  <c r="H257" i="18" s="1"/>
  <c r="G171" i="18"/>
  <c r="H171" i="18" s="1"/>
  <c r="G74" i="18"/>
  <c r="H74" i="18" s="1"/>
  <c r="G38" i="18"/>
  <c r="H38" i="18" s="1"/>
  <c r="G94" i="18"/>
  <c r="H94" i="18" s="1"/>
  <c r="G39" i="18"/>
  <c r="H39" i="18" s="1"/>
  <c r="G212" i="18"/>
  <c r="H212" i="18" s="1"/>
  <c r="G112" i="18"/>
  <c r="H112" i="18" s="1"/>
  <c r="G86" i="18"/>
  <c r="H86" i="18" s="1"/>
  <c r="G146" i="18"/>
  <c r="H146" i="18" s="1"/>
  <c r="G75" i="18"/>
  <c r="H75" i="18" s="1"/>
  <c r="G35" i="18"/>
  <c r="H35" i="18" s="1"/>
  <c r="G79" i="18"/>
  <c r="H79" i="18" s="1"/>
  <c r="G48" i="18"/>
  <c r="H48" i="18" s="1"/>
  <c r="G284" i="18"/>
  <c r="H284" i="18" s="1"/>
  <c r="G174" i="18"/>
  <c r="H174" i="18" s="1"/>
  <c r="G69" i="18"/>
  <c r="H69" i="18" s="1"/>
  <c r="G16" i="18"/>
  <c r="H16" i="18" s="1"/>
  <c r="G249" i="18"/>
  <c r="H249" i="18" s="1"/>
  <c r="G261" i="18"/>
  <c r="H261" i="18" s="1"/>
  <c r="G93" i="18"/>
  <c r="H93" i="18" s="1"/>
  <c r="G41" i="18"/>
  <c r="H41" i="18" s="1"/>
  <c r="G11" i="18"/>
  <c r="H11" i="18" s="1"/>
  <c r="G76" i="18"/>
  <c r="H76" i="18" s="1"/>
  <c r="G73" i="18"/>
  <c r="H73" i="18" s="1"/>
  <c r="G192" i="18"/>
  <c r="H192" i="18" s="1"/>
  <c r="G27" i="18"/>
  <c r="H27" i="18" s="1"/>
  <c r="G44" i="18"/>
  <c r="H44" i="18" s="1"/>
  <c r="G57" i="18"/>
  <c r="H57" i="18" s="1"/>
  <c r="G59" i="18"/>
  <c r="H59" i="18" s="1"/>
  <c r="G90" i="18"/>
  <c r="H90" i="18" s="1"/>
  <c r="G19" i="18"/>
  <c r="H19" i="18" s="1"/>
  <c r="G159" i="18"/>
  <c r="H159" i="18" s="1"/>
  <c r="G153" i="18"/>
  <c r="H153" i="18" s="1"/>
  <c r="G207" i="18"/>
  <c r="H207" i="18" s="1"/>
  <c r="G42" i="18"/>
  <c r="H42" i="18" s="1"/>
  <c r="G176" i="18"/>
  <c r="H176" i="18" s="1"/>
  <c r="G121" i="18"/>
  <c r="H121" i="18" s="1"/>
  <c r="G155" i="18"/>
  <c r="H155" i="18" s="1"/>
  <c r="G123" i="18"/>
  <c r="H123" i="18" s="1"/>
  <c r="G20" i="18"/>
  <c r="H20" i="18" s="1"/>
  <c r="G15" i="18"/>
  <c r="H15" i="18" s="1"/>
  <c r="G12" i="18"/>
  <c r="H12" i="18" s="1"/>
  <c r="G84" i="18"/>
  <c r="H84" i="18" s="1"/>
  <c r="G201" i="18"/>
  <c r="H201" i="18" s="1"/>
  <c r="G250" i="18"/>
  <c r="H250" i="18" s="1"/>
  <c r="G115" i="18"/>
  <c r="H115" i="18" s="1"/>
  <c r="G291" i="18"/>
  <c r="H291" i="18" s="1"/>
  <c r="G228" i="18"/>
  <c r="H228" i="18" s="1"/>
  <c r="G106" i="18"/>
  <c r="H106" i="18" s="1"/>
  <c r="G283" i="18"/>
  <c r="H283" i="18" s="1"/>
  <c r="G100" i="18"/>
  <c r="H100" i="18" s="1"/>
  <c r="G183" i="18"/>
  <c r="H183" i="18" s="1"/>
  <c r="AD109" i="22" l="1"/>
  <c r="L107" i="18"/>
  <c r="M107" i="18" s="1"/>
  <c r="N107" i="18" s="1"/>
  <c r="O107" i="18" s="1"/>
  <c r="L246" i="18"/>
  <c r="M246" i="18" s="1"/>
  <c r="N246" i="18" s="1"/>
  <c r="O246" i="18" s="1"/>
  <c r="AD249" i="22"/>
  <c r="AD264" i="22"/>
  <c r="P266" i="9" s="1"/>
  <c r="Q266" i="9" s="1"/>
  <c r="L261" i="18"/>
  <c r="M261" i="18" s="1"/>
  <c r="N261" i="18" s="1"/>
  <c r="O261" i="18" s="1"/>
  <c r="R18" i="13"/>
  <c r="L181" i="18"/>
  <c r="M181" i="18" s="1"/>
  <c r="N181" i="18" s="1"/>
  <c r="O181" i="18" s="1"/>
  <c r="AD183" i="22"/>
  <c r="AD176" i="22"/>
  <c r="L174" i="18"/>
  <c r="M174" i="18" s="1"/>
  <c r="N174" i="18" s="1"/>
  <c r="O174" i="18" s="1"/>
  <c r="AD29" i="22"/>
  <c r="L27" i="18"/>
  <c r="M27" i="18" s="1"/>
  <c r="N27" i="18" s="1"/>
  <c r="O27" i="18" s="1"/>
  <c r="AD14" i="22"/>
  <c r="L11" i="18"/>
  <c r="M11" i="18" s="1"/>
  <c r="N11" i="18" s="1"/>
  <c r="O11" i="18" s="1"/>
  <c r="AD285" i="22"/>
  <c r="L282" i="18"/>
  <c r="M282" i="18" s="1"/>
  <c r="N282" i="18" s="1"/>
  <c r="O282" i="18" s="1"/>
  <c r="AD196" i="22"/>
  <c r="L153" i="18"/>
  <c r="M153" i="18" s="1"/>
  <c r="N153" i="18" s="1"/>
  <c r="O153" i="18" s="1"/>
  <c r="AD11" i="22"/>
  <c r="L8" i="18"/>
  <c r="M8" i="18" s="1"/>
  <c r="N8" i="18" s="1"/>
  <c r="O8" i="18" s="1"/>
  <c r="AD15" i="22"/>
  <c r="L12" i="18"/>
  <c r="M12" i="18" s="1"/>
  <c r="N12" i="18" s="1"/>
  <c r="O12" i="18" s="1"/>
  <c r="AD92" i="22"/>
  <c r="L90" i="18"/>
  <c r="M90" i="18" s="1"/>
  <c r="N90" i="18" s="1"/>
  <c r="O90" i="18" s="1"/>
  <c r="AD252" i="22"/>
  <c r="L249" i="18"/>
  <c r="M249" i="18" s="1"/>
  <c r="N249" i="18" s="1"/>
  <c r="O249" i="18" s="1"/>
  <c r="AD215" i="22"/>
  <c r="L212" i="18"/>
  <c r="M212" i="18" s="1"/>
  <c r="N212" i="18" s="1"/>
  <c r="O212" i="18" s="1"/>
  <c r="AD280" i="22"/>
  <c r="L277" i="18"/>
  <c r="M277" i="18" s="1"/>
  <c r="N277" i="18" s="1"/>
  <c r="O277" i="18" s="1"/>
  <c r="AD240" i="22"/>
  <c r="L237" i="18"/>
  <c r="M237" i="18" s="1"/>
  <c r="N237" i="18" s="1"/>
  <c r="O237" i="18" s="1"/>
  <c r="AD293" i="22"/>
  <c r="L290" i="18"/>
  <c r="M290" i="18" s="1"/>
  <c r="N290" i="18" s="1"/>
  <c r="O290" i="18" s="1"/>
  <c r="AD141" i="22"/>
  <c r="L138" i="18"/>
  <c r="M138" i="18" s="1"/>
  <c r="N138" i="18" s="1"/>
  <c r="O138" i="18" s="1"/>
  <c r="AD296" i="22"/>
  <c r="L293" i="18"/>
  <c r="M293" i="18" s="1"/>
  <c r="N293" i="18" s="1"/>
  <c r="O293" i="18" s="1"/>
  <c r="AD220" i="22"/>
  <c r="L217" i="18"/>
  <c r="M217" i="18" s="1"/>
  <c r="N217" i="18" s="1"/>
  <c r="O217" i="18" s="1"/>
  <c r="AD213" i="22"/>
  <c r="L210" i="18"/>
  <c r="M210" i="18" s="1"/>
  <c r="N210" i="18" s="1"/>
  <c r="O210" i="18" s="1"/>
  <c r="AD227" i="22"/>
  <c r="L224" i="18"/>
  <c r="M224" i="18" s="1"/>
  <c r="N224" i="18" s="1"/>
  <c r="O224" i="18" s="1"/>
  <c r="AD228" i="22"/>
  <c r="L225" i="18"/>
  <c r="M225" i="18" s="1"/>
  <c r="N225" i="18" s="1"/>
  <c r="O225" i="18" s="1"/>
  <c r="AD142" i="22"/>
  <c r="L139" i="18"/>
  <c r="M139" i="18" s="1"/>
  <c r="N139" i="18" s="1"/>
  <c r="O139" i="18" s="1"/>
  <c r="L87" i="18"/>
  <c r="M87" i="18" s="1"/>
  <c r="N87" i="18" s="1"/>
  <c r="O87" i="18" s="1"/>
  <c r="AD89" i="22"/>
  <c r="AD172" i="22"/>
  <c r="L170" i="18"/>
  <c r="M170" i="18" s="1"/>
  <c r="N170" i="18" s="1"/>
  <c r="O170" i="18" s="1"/>
  <c r="AD38" i="22"/>
  <c r="L36" i="18"/>
  <c r="M36" i="18" s="1"/>
  <c r="N36" i="18" s="1"/>
  <c r="O36" i="18" s="1"/>
  <c r="AD91" i="22"/>
  <c r="L89" i="18"/>
  <c r="M89" i="18" s="1"/>
  <c r="N89" i="18" s="1"/>
  <c r="O89" i="18" s="1"/>
  <c r="AD100" i="22"/>
  <c r="L98" i="18"/>
  <c r="M98" i="18" s="1"/>
  <c r="N98" i="18" s="1"/>
  <c r="O98" i="18" s="1"/>
  <c r="L208" i="18"/>
  <c r="M208" i="18" s="1"/>
  <c r="N208" i="18" s="1"/>
  <c r="O208" i="18" s="1"/>
  <c r="AD211" i="22"/>
  <c r="AD62" i="22"/>
  <c r="L60" i="18"/>
  <c r="M60" i="18" s="1"/>
  <c r="N60" i="18" s="1"/>
  <c r="O60" i="18" s="1"/>
  <c r="AD68" i="22"/>
  <c r="L66" i="18"/>
  <c r="M66" i="18" s="1"/>
  <c r="N66" i="18" s="1"/>
  <c r="O66" i="18" s="1"/>
  <c r="L147" i="18"/>
  <c r="M147" i="18" s="1"/>
  <c r="N147" i="18" s="1"/>
  <c r="O147" i="18" s="1"/>
  <c r="AD150" i="22"/>
  <c r="AD97" i="22"/>
  <c r="L95" i="18"/>
  <c r="M95" i="18" s="1"/>
  <c r="N95" i="18" s="1"/>
  <c r="O95" i="18" s="1"/>
  <c r="AD17" i="22"/>
  <c r="L15" i="18"/>
  <c r="M15" i="18" s="1"/>
  <c r="N15" i="18" s="1"/>
  <c r="O15" i="18" s="1"/>
  <c r="AD61" i="22"/>
  <c r="L59" i="18"/>
  <c r="M59" i="18" s="1"/>
  <c r="N59" i="18" s="1"/>
  <c r="O59" i="18" s="1"/>
  <c r="L16" i="18"/>
  <c r="M16" i="18" s="1"/>
  <c r="N16" i="18" s="1"/>
  <c r="O16" i="18" s="1"/>
  <c r="AD18" i="22"/>
  <c r="AD41" i="22"/>
  <c r="L39" i="18"/>
  <c r="M39" i="18" s="1"/>
  <c r="N39" i="18" s="1"/>
  <c r="O39" i="18" s="1"/>
  <c r="AD27" i="22"/>
  <c r="L25" i="18"/>
  <c r="M25" i="18" s="1"/>
  <c r="N25" i="18" s="1"/>
  <c r="O25" i="18" s="1"/>
  <c r="AD20" i="22"/>
  <c r="L18" i="18"/>
  <c r="M18" i="18" s="1"/>
  <c r="N18" i="18" s="1"/>
  <c r="O18" i="18" s="1"/>
  <c r="AD52" i="22"/>
  <c r="L50" i="18"/>
  <c r="M50" i="18" s="1"/>
  <c r="N50" i="18" s="1"/>
  <c r="O50" i="18" s="1"/>
  <c r="AD255" i="22"/>
  <c r="L252" i="18"/>
  <c r="M252" i="18" s="1"/>
  <c r="N252" i="18" s="1"/>
  <c r="O252" i="18" s="1"/>
  <c r="AD57" i="22"/>
  <c r="L55" i="18"/>
  <c r="M55" i="18" s="1"/>
  <c r="N55" i="18" s="1"/>
  <c r="O55" i="18" s="1"/>
  <c r="AD254" i="22"/>
  <c r="L251" i="18"/>
  <c r="M251" i="18" s="1"/>
  <c r="N251" i="18" s="1"/>
  <c r="O251" i="18" s="1"/>
  <c r="AD273" i="22"/>
  <c r="L270" i="18"/>
  <c r="M270" i="18" s="1"/>
  <c r="N270" i="18" s="1"/>
  <c r="O270" i="18" s="1"/>
  <c r="AD134" i="22"/>
  <c r="L132" i="18"/>
  <c r="M132" i="18" s="1"/>
  <c r="N132" i="18" s="1"/>
  <c r="O132" i="18" s="1"/>
  <c r="AD239" i="22"/>
  <c r="L236" i="18"/>
  <c r="M236" i="18" s="1"/>
  <c r="AD266" i="22"/>
  <c r="L263" i="18"/>
  <c r="M263" i="18" s="1"/>
  <c r="N263" i="18" s="1"/>
  <c r="O263" i="18" s="1"/>
  <c r="L220" i="18"/>
  <c r="M220" i="18" s="1"/>
  <c r="N220" i="18" s="1"/>
  <c r="O220" i="18" s="1"/>
  <c r="AD223" i="22"/>
  <c r="AD110" i="22"/>
  <c r="L108" i="18"/>
  <c r="M108" i="18" s="1"/>
  <c r="N108" i="18" s="1"/>
  <c r="O108" i="18" s="1"/>
  <c r="AD261" i="22"/>
  <c r="L258" i="18"/>
  <c r="M258" i="18" s="1"/>
  <c r="N258" i="18" s="1"/>
  <c r="O258" i="18" s="1"/>
  <c r="AD309" i="22"/>
  <c r="L307" i="18"/>
  <c r="M307" i="18" s="1"/>
  <c r="N307" i="18" s="1"/>
  <c r="O307" i="18" s="1"/>
  <c r="AD197" i="22"/>
  <c r="L194" i="18"/>
  <c r="M194" i="18" s="1"/>
  <c r="N194" i="18" s="1"/>
  <c r="O194" i="18" s="1"/>
  <c r="AD128" i="22"/>
  <c r="L126" i="18"/>
  <c r="M126" i="18" s="1"/>
  <c r="N126" i="18" s="1"/>
  <c r="O126" i="18" s="1"/>
  <c r="AD292" i="22"/>
  <c r="L289" i="18"/>
  <c r="M289" i="18" s="1"/>
  <c r="N289" i="18" s="1"/>
  <c r="O289" i="18" s="1"/>
  <c r="AD48" i="22"/>
  <c r="L46" i="18"/>
  <c r="M46" i="18" s="1"/>
  <c r="N46" i="18" s="1"/>
  <c r="O46" i="18" s="1"/>
  <c r="AD64" i="22"/>
  <c r="L62" i="18"/>
  <c r="M62" i="18" s="1"/>
  <c r="N62" i="18" s="1"/>
  <c r="O62" i="18" s="1"/>
  <c r="AD158" i="22"/>
  <c r="L156" i="18"/>
  <c r="M156" i="18" s="1"/>
  <c r="N156" i="18" s="1"/>
  <c r="O156" i="18" s="1"/>
  <c r="AD151" i="22"/>
  <c r="L148" i="18"/>
  <c r="M148" i="18" s="1"/>
  <c r="N148" i="18" s="1"/>
  <c r="O148" i="18" s="1"/>
  <c r="AD208" i="22"/>
  <c r="L206" i="18"/>
  <c r="M206" i="18" s="1"/>
  <c r="N206" i="18" s="1"/>
  <c r="O206" i="18" s="1"/>
  <c r="AD238" i="22"/>
  <c r="L235" i="18"/>
  <c r="M235" i="18" s="1"/>
  <c r="N235" i="18" s="1"/>
  <c r="O235" i="18" s="1"/>
  <c r="AD163" i="22"/>
  <c r="L162" i="18"/>
  <c r="M162" i="18" s="1"/>
  <c r="N162" i="18" s="1"/>
  <c r="O162" i="18" s="1"/>
  <c r="L160" i="18"/>
  <c r="M160" i="18" s="1"/>
  <c r="N160" i="18" s="1"/>
  <c r="O160" i="18" s="1"/>
  <c r="AD162" i="22"/>
  <c r="AD42" i="22"/>
  <c r="L40" i="18"/>
  <c r="M40" i="18" s="1"/>
  <c r="N40" i="18" s="1"/>
  <c r="O40" i="18" s="1"/>
  <c r="AD214" i="22"/>
  <c r="L211" i="18"/>
  <c r="M211" i="18" s="1"/>
  <c r="N211" i="18" s="1"/>
  <c r="O211" i="18" s="1"/>
  <c r="AD24" i="22"/>
  <c r="L22" i="18"/>
  <c r="AD69" i="22"/>
  <c r="L67" i="18"/>
  <c r="M67" i="18" s="1"/>
  <c r="N67" i="18" s="1"/>
  <c r="O67" i="18" s="1"/>
  <c r="AD107" i="22"/>
  <c r="L105" i="18"/>
  <c r="M105" i="18" s="1"/>
  <c r="N105" i="18" s="1"/>
  <c r="O105" i="18" s="1"/>
  <c r="AD246" i="22"/>
  <c r="L243" i="18"/>
  <c r="M243" i="18" s="1"/>
  <c r="N243" i="18" s="1"/>
  <c r="O243" i="18" s="1"/>
  <c r="AD169" i="22"/>
  <c r="L167" i="18"/>
  <c r="M167" i="18" s="1"/>
  <c r="N167" i="18" s="1"/>
  <c r="O167" i="18" s="1"/>
  <c r="AD283" i="22"/>
  <c r="L280" i="18"/>
  <c r="M280" i="18" s="1"/>
  <c r="N280" i="18" s="1"/>
  <c r="O280" i="18" s="1"/>
  <c r="AD51" i="22"/>
  <c r="L49" i="18"/>
  <c r="M49" i="18" s="1"/>
  <c r="N49" i="18" s="1"/>
  <c r="O49" i="18" s="1"/>
  <c r="AD269" i="22"/>
  <c r="L266" i="18"/>
  <c r="M266" i="18" s="1"/>
  <c r="N266" i="18" s="1"/>
  <c r="O266" i="18" s="1"/>
  <c r="L64" i="18"/>
  <c r="M64" i="18" s="1"/>
  <c r="N64" i="18" s="1"/>
  <c r="O64" i="18" s="1"/>
  <c r="AD66" i="22"/>
  <c r="AD12" i="22"/>
  <c r="L9" i="18"/>
  <c r="M9" i="18" s="1"/>
  <c r="N9" i="18" s="1"/>
  <c r="O9" i="18" s="1"/>
  <c r="AD131" i="22"/>
  <c r="L129" i="18"/>
  <c r="M129" i="18" s="1"/>
  <c r="N129" i="18" s="1"/>
  <c r="O129" i="18" s="1"/>
  <c r="AD256" i="22"/>
  <c r="L253" i="18"/>
  <c r="M253" i="18" s="1"/>
  <c r="N253" i="18" s="1"/>
  <c r="O253" i="18" s="1"/>
  <c r="AD250" i="22"/>
  <c r="L247" i="18"/>
  <c r="M247" i="18" s="1"/>
  <c r="N247" i="18" s="1"/>
  <c r="O247" i="18" s="1"/>
  <c r="AD25" i="22"/>
  <c r="L23" i="18"/>
  <c r="M23" i="18" s="1"/>
  <c r="N23" i="18" s="1"/>
  <c r="O23" i="18" s="1"/>
  <c r="AD279" i="22"/>
  <c r="L276" i="18"/>
  <c r="M276" i="18" s="1"/>
  <c r="N276" i="18" s="1"/>
  <c r="O276" i="18" s="1"/>
  <c r="AD179" i="22"/>
  <c r="L177" i="18"/>
  <c r="M177" i="18" s="1"/>
  <c r="N177" i="18" s="1"/>
  <c r="O177" i="18" s="1"/>
  <c r="AD148" i="22"/>
  <c r="L145" i="18"/>
  <c r="M145" i="18" s="1"/>
  <c r="N145" i="18" s="1"/>
  <c r="O145" i="18" s="1"/>
  <c r="AD67" i="22"/>
  <c r="L65" i="18"/>
  <c r="M65" i="18" s="1"/>
  <c r="N65" i="18" s="1"/>
  <c r="O65" i="18" s="1"/>
  <c r="AD73" i="22"/>
  <c r="L71" i="18"/>
  <c r="M71" i="18" s="1"/>
  <c r="N71" i="18" s="1"/>
  <c r="O71" i="18" s="1"/>
  <c r="L275" i="18"/>
  <c r="M275" i="18" s="1"/>
  <c r="N275" i="18" s="1"/>
  <c r="O275" i="18" s="1"/>
  <c r="AD278" i="22"/>
  <c r="AD248" i="22"/>
  <c r="L245" i="18"/>
  <c r="M245" i="18" s="1"/>
  <c r="N245" i="18" s="1"/>
  <c r="O245" i="18" s="1"/>
  <c r="AD209" i="22"/>
  <c r="L203" i="18"/>
  <c r="M203" i="18" s="1"/>
  <c r="N203" i="18" s="1"/>
  <c r="O203" i="18" s="1"/>
  <c r="AD203" i="22"/>
  <c r="L200" i="18"/>
  <c r="M200" i="18" s="1"/>
  <c r="N200" i="18" s="1"/>
  <c r="O200" i="18" s="1"/>
  <c r="AD303" i="22"/>
  <c r="L300" i="18"/>
  <c r="M300" i="18" s="1"/>
  <c r="N300" i="18" s="1"/>
  <c r="O300" i="18" s="1"/>
  <c r="AD165" i="22"/>
  <c r="L163" i="18"/>
  <c r="M163" i="18" s="1"/>
  <c r="N163" i="18" s="1"/>
  <c r="O163" i="18" s="1"/>
  <c r="AD49" i="22"/>
  <c r="L47" i="18"/>
  <c r="M47" i="18" s="1"/>
  <c r="N47" i="18" s="1"/>
  <c r="O47" i="18" s="1"/>
  <c r="AD206" i="22"/>
  <c r="L204" i="18"/>
  <c r="M204" i="18" s="1"/>
  <c r="N204" i="18" s="1"/>
  <c r="O204" i="18" s="1"/>
  <c r="AD102" i="22"/>
  <c r="L100" i="18"/>
  <c r="M100" i="18" s="1"/>
  <c r="N100" i="18" s="1"/>
  <c r="O100" i="18" s="1"/>
  <c r="L284" i="18"/>
  <c r="M284" i="18" s="1"/>
  <c r="AD287" i="22"/>
  <c r="L299" i="18"/>
  <c r="M299" i="18" s="1"/>
  <c r="N299" i="18" s="1"/>
  <c r="O299" i="18" s="1"/>
  <c r="AD302" i="22"/>
  <c r="AD56" i="22"/>
  <c r="L54" i="18"/>
  <c r="M54" i="18" s="1"/>
  <c r="N54" i="18" s="1"/>
  <c r="O54" i="18" s="1"/>
  <c r="AD230" i="22"/>
  <c r="L227" i="18"/>
  <c r="M227" i="18" s="1"/>
  <c r="N227" i="18" s="1"/>
  <c r="O227" i="18" s="1"/>
  <c r="AD193" i="22"/>
  <c r="L188" i="18"/>
  <c r="M188" i="18" s="1"/>
  <c r="AD30" i="22"/>
  <c r="L28" i="18"/>
  <c r="M28" i="18" s="1"/>
  <c r="N28" i="18" s="1"/>
  <c r="O28" i="18" s="1"/>
  <c r="AD281" i="22"/>
  <c r="L278" i="18"/>
  <c r="M278" i="18" s="1"/>
  <c r="N278" i="18" s="1"/>
  <c r="O278" i="18" s="1"/>
  <c r="AD218" i="22"/>
  <c r="L215" i="18"/>
  <c r="M215" i="18" s="1"/>
  <c r="N215" i="18" s="1"/>
  <c r="O215" i="18" s="1"/>
  <c r="L298" i="18"/>
  <c r="M298" i="18" s="1"/>
  <c r="N298" i="18" s="1"/>
  <c r="O298" i="18" s="1"/>
  <c r="AD301" i="22"/>
  <c r="AD116" i="22"/>
  <c r="L114" i="18"/>
  <c r="M114" i="18" s="1"/>
  <c r="N114" i="18" s="1"/>
  <c r="O114" i="18" s="1"/>
  <c r="AD284" i="22"/>
  <c r="L281" i="18"/>
  <c r="M281" i="18" s="1"/>
  <c r="N281" i="18" s="1"/>
  <c r="O281" i="18" s="1"/>
  <c r="AD137" i="22"/>
  <c r="L135" i="18"/>
  <c r="M135" i="18" s="1"/>
  <c r="N135" i="18" s="1"/>
  <c r="O135" i="18" s="1"/>
  <c r="AD174" i="22"/>
  <c r="L172" i="18"/>
  <c r="M172" i="18" s="1"/>
  <c r="N172" i="18" s="1"/>
  <c r="O172" i="18" s="1"/>
  <c r="AD94" i="22"/>
  <c r="L92" i="18"/>
  <c r="M92" i="18" s="1"/>
  <c r="N92" i="18" s="1"/>
  <c r="O92" i="18" s="1"/>
  <c r="AD74" i="22"/>
  <c r="L72" i="18"/>
  <c r="M72" i="18" s="1"/>
  <c r="N72" i="18" s="1"/>
  <c r="O72" i="18" s="1"/>
  <c r="L13" i="18"/>
  <c r="M13" i="18" s="1"/>
  <c r="N13" i="18" s="1"/>
  <c r="O13" i="18" s="1"/>
  <c r="AD138" i="22"/>
  <c r="AD226" i="22"/>
  <c r="L223" i="18"/>
  <c r="M223" i="18" s="1"/>
  <c r="N223" i="18" s="1"/>
  <c r="O223" i="18" s="1"/>
  <c r="AD55" i="22"/>
  <c r="L53" i="18"/>
  <c r="M53" i="18" s="1"/>
  <c r="N53" i="18" s="1"/>
  <c r="O53" i="18" s="1"/>
  <c r="L239" i="18"/>
  <c r="M239" i="18" s="1"/>
  <c r="N239" i="18" s="1"/>
  <c r="O239" i="18" s="1"/>
  <c r="AD242" i="22"/>
  <c r="AD58" i="22"/>
  <c r="L56" i="18"/>
  <c r="M56" i="18" s="1"/>
  <c r="N56" i="18" s="1"/>
  <c r="O56" i="18" s="1"/>
  <c r="AD59" i="22"/>
  <c r="L57" i="18"/>
  <c r="M57" i="18" s="1"/>
  <c r="N57" i="18" s="1"/>
  <c r="O57" i="18" s="1"/>
  <c r="AD153" i="22"/>
  <c r="L150" i="18"/>
  <c r="M150" i="18" s="1"/>
  <c r="N150" i="18" s="1"/>
  <c r="O150" i="18" s="1"/>
  <c r="AD225" i="22"/>
  <c r="L222" i="18"/>
  <c r="M222" i="18" s="1"/>
  <c r="N222" i="18" s="1"/>
  <c r="O222" i="18" s="1"/>
  <c r="AD123" i="22"/>
  <c r="L121" i="18"/>
  <c r="AD50" i="22"/>
  <c r="L48" i="18"/>
  <c r="M48" i="18" s="1"/>
  <c r="N48" i="18" s="1"/>
  <c r="O48" i="18" s="1"/>
  <c r="AD173" i="22"/>
  <c r="L171" i="18"/>
  <c r="M171" i="18" s="1"/>
  <c r="N171" i="18" s="1"/>
  <c r="O171" i="18" s="1"/>
  <c r="AD104" i="22"/>
  <c r="L102" i="18"/>
  <c r="M102" i="18" s="1"/>
  <c r="N102" i="18" s="1"/>
  <c r="O102" i="18" s="1"/>
  <c r="AD45" i="22"/>
  <c r="L43" i="18"/>
  <c r="M43" i="18" s="1"/>
  <c r="N43" i="18" s="1"/>
  <c r="O43" i="18" s="1"/>
  <c r="AD65" i="22"/>
  <c r="L63" i="18"/>
  <c r="M63" i="18" s="1"/>
  <c r="N63" i="18" s="1"/>
  <c r="O63" i="18" s="1"/>
  <c r="AD171" i="22"/>
  <c r="L169" i="18"/>
  <c r="M169" i="18" s="1"/>
  <c r="N169" i="18" s="1"/>
  <c r="O169" i="18" s="1"/>
  <c r="AD140" i="22"/>
  <c r="L137" i="18"/>
  <c r="M137" i="18" s="1"/>
  <c r="N137" i="18" s="1"/>
  <c r="O137" i="18" s="1"/>
  <c r="AD170" i="22"/>
  <c r="L168" i="18"/>
  <c r="M168" i="18" s="1"/>
  <c r="N168" i="18" s="1"/>
  <c r="O168" i="18" s="1"/>
  <c r="L196" i="18"/>
  <c r="M196" i="18" s="1"/>
  <c r="N196" i="18" s="1"/>
  <c r="O196" i="18" s="1"/>
  <c r="AD199" i="22"/>
  <c r="AD87" i="22"/>
  <c r="L85" i="18"/>
  <c r="M85" i="18" s="1"/>
  <c r="N85" i="18" s="1"/>
  <c r="O85" i="18" s="1"/>
  <c r="AD164" i="22"/>
  <c r="L161" i="18"/>
  <c r="M161" i="18" s="1"/>
  <c r="N161" i="18" s="1"/>
  <c r="O161" i="18" s="1"/>
  <c r="AD31" i="22"/>
  <c r="L29" i="18"/>
  <c r="M29" i="18" s="1"/>
  <c r="N29" i="18" s="1"/>
  <c r="O29" i="18" s="1"/>
  <c r="AD144" i="22"/>
  <c r="L141" i="18"/>
  <c r="M141" i="18" s="1"/>
  <c r="N141" i="18" s="1"/>
  <c r="O141" i="18" s="1"/>
  <c r="AD233" i="22"/>
  <c r="L230" i="18"/>
  <c r="M230" i="18" s="1"/>
  <c r="N230" i="18" s="1"/>
  <c r="O230" i="18" s="1"/>
  <c r="AD35" i="22"/>
  <c r="L33" i="18"/>
  <c r="M33" i="18" s="1"/>
  <c r="N33" i="18" s="1"/>
  <c r="O33" i="18" s="1"/>
  <c r="AD103" i="22"/>
  <c r="L101" i="18"/>
  <c r="M101" i="18" s="1"/>
  <c r="N101" i="18" s="1"/>
  <c r="O101" i="18" s="1"/>
  <c r="L279" i="18"/>
  <c r="M279" i="18" s="1"/>
  <c r="N279" i="18" s="1"/>
  <c r="O279" i="18" s="1"/>
  <c r="AD282" i="22"/>
  <c r="AD121" i="22"/>
  <c r="L119" i="18"/>
  <c r="M119" i="18" s="1"/>
  <c r="N119" i="18" s="1"/>
  <c r="O119" i="18" s="1"/>
  <c r="AD106" i="22"/>
  <c r="L104" i="18"/>
  <c r="M104" i="18" s="1"/>
  <c r="N104" i="18" s="1"/>
  <c r="O104" i="18" s="1"/>
  <c r="L219" i="18"/>
  <c r="M219" i="18" s="1"/>
  <c r="N219" i="18" s="1"/>
  <c r="O219" i="18" s="1"/>
  <c r="AD222" i="22"/>
  <c r="AD96" i="22"/>
  <c r="L94" i="18"/>
  <c r="M94" i="18" s="1"/>
  <c r="N94" i="18" s="1"/>
  <c r="AD40" i="22"/>
  <c r="L38" i="18"/>
  <c r="M38" i="18" s="1"/>
  <c r="N38" i="18" s="1"/>
  <c r="O38" i="18" s="1"/>
  <c r="AD76" i="22"/>
  <c r="L74" i="18"/>
  <c r="M74" i="18" s="1"/>
  <c r="N74" i="18" s="1"/>
  <c r="O74" i="18" s="1"/>
  <c r="AD108" i="22"/>
  <c r="L106" i="18"/>
  <c r="M106" i="18" s="1"/>
  <c r="N106" i="18" s="1"/>
  <c r="O106" i="18" s="1"/>
  <c r="AD194" i="22"/>
  <c r="L192" i="18"/>
  <c r="M192" i="18" s="1"/>
  <c r="N192" i="18" s="1"/>
  <c r="O192" i="18" s="1"/>
  <c r="AD60" i="22"/>
  <c r="L58" i="18"/>
  <c r="M58" i="18" s="1"/>
  <c r="N58" i="18" s="1"/>
  <c r="O58" i="18" s="1"/>
  <c r="L228" i="18"/>
  <c r="M228" i="18" s="1"/>
  <c r="N228" i="18" s="1"/>
  <c r="O228" i="18" s="1"/>
  <c r="AD231" i="22"/>
  <c r="AD178" i="22"/>
  <c r="L176" i="18"/>
  <c r="M176" i="18" s="1"/>
  <c r="N176" i="18" s="1"/>
  <c r="O176" i="18" s="1"/>
  <c r="AD75" i="22"/>
  <c r="L73" i="18"/>
  <c r="M73" i="18" s="1"/>
  <c r="N73" i="18" s="1"/>
  <c r="O73" i="18" s="1"/>
  <c r="AD81" i="22"/>
  <c r="L79" i="18"/>
  <c r="M79" i="18" s="1"/>
  <c r="N79" i="18" s="1"/>
  <c r="O79" i="18" s="1"/>
  <c r="L257" i="18"/>
  <c r="M257" i="18" s="1"/>
  <c r="N257" i="18" s="1"/>
  <c r="O257" i="18" s="1"/>
  <c r="AD260" i="22"/>
  <c r="AD229" i="22"/>
  <c r="L226" i="18"/>
  <c r="M226" i="18" s="1"/>
  <c r="N226" i="18" s="1"/>
  <c r="AD119" i="22"/>
  <c r="L117" i="18"/>
  <c r="M117" i="18" s="1"/>
  <c r="N117" i="18" s="1"/>
  <c r="O117" i="18" s="1"/>
  <c r="AD47" i="22"/>
  <c r="L45" i="18"/>
  <c r="M45" i="18" s="1"/>
  <c r="N45" i="18" s="1"/>
  <c r="O45" i="18" s="1"/>
  <c r="AD19" i="22"/>
  <c r="L17" i="18"/>
  <c r="M17" i="18" s="1"/>
  <c r="N17" i="18" s="1"/>
  <c r="O17" i="18" s="1"/>
  <c r="L255" i="18"/>
  <c r="M255" i="18" s="1"/>
  <c r="AD258" i="22"/>
  <c r="AD147" i="22"/>
  <c r="L144" i="18"/>
  <c r="M144" i="18" s="1"/>
  <c r="N144" i="18" s="1"/>
  <c r="O144" i="18" s="1"/>
  <c r="AD124" i="22"/>
  <c r="L122" i="18"/>
  <c r="M122" i="18" s="1"/>
  <c r="N122" i="18" s="1"/>
  <c r="O122" i="18" s="1"/>
  <c r="AD182" i="22"/>
  <c r="L180" i="18"/>
  <c r="M180" i="18" s="1"/>
  <c r="N180" i="18" s="1"/>
  <c r="O180" i="18" s="1"/>
  <c r="L88" i="18"/>
  <c r="M88" i="18" s="1"/>
  <c r="N88" i="18" s="1"/>
  <c r="O88" i="18" s="1"/>
  <c r="AD90" i="22"/>
  <c r="AD186" i="22"/>
  <c r="L184" i="18"/>
  <c r="M184" i="18" s="1"/>
  <c r="N184" i="18" s="1"/>
  <c r="O184" i="18" s="1"/>
  <c r="AD274" i="22"/>
  <c r="L271" i="18"/>
  <c r="M271" i="18" s="1"/>
  <c r="N271" i="18" s="1"/>
  <c r="O271" i="18" s="1"/>
  <c r="AD160" i="22"/>
  <c r="L158" i="18"/>
  <c r="M158" i="18" s="1"/>
  <c r="N158" i="18" s="1"/>
  <c r="O158" i="18" s="1"/>
  <c r="L303" i="18"/>
  <c r="M303" i="18" s="1"/>
  <c r="AD306" i="22"/>
  <c r="AD205" i="22"/>
  <c r="L202" i="18"/>
  <c r="M202" i="18" s="1"/>
  <c r="N202" i="18" s="1"/>
  <c r="O202" i="18" s="1"/>
  <c r="L306" i="18"/>
  <c r="M306" i="18" s="1"/>
  <c r="N306" i="18" s="1"/>
  <c r="O306" i="18" s="1"/>
  <c r="AD308" i="22"/>
  <c r="AD39" i="22"/>
  <c r="L37" i="18"/>
  <c r="M37" i="18" s="1"/>
  <c r="N37" i="18" s="1"/>
  <c r="O37" i="18" s="1"/>
  <c r="L297" i="18"/>
  <c r="M297" i="18" s="1"/>
  <c r="N297" i="18" s="1"/>
  <c r="O297" i="18" s="1"/>
  <c r="AD300" i="22"/>
  <c r="AD53" i="22"/>
  <c r="L51" i="18"/>
  <c r="M51" i="18" s="1"/>
  <c r="N51" i="18" s="1"/>
  <c r="O51" i="18" s="1"/>
  <c r="AD143" i="22"/>
  <c r="L140" i="18"/>
  <c r="M140" i="18" s="1"/>
  <c r="N140" i="18" s="1"/>
  <c r="O140" i="18" s="1"/>
  <c r="AD22" i="22"/>
  <c r="L20" i="18"/>
  <c r="M20" i="18" s="1"/>
  <c r="N20" i="18" s="1"/>
  <c r="O20" i="18" s="1"/>
  <c r="AD115" i="22"/>
  <c r="L113" i="18"/>
  <c r="M113" i="18" s="1"/>
  <c r="N113" i="18" s="1"/>
  <c r="O113" i="18" s="1"/>
  <c r="AD294" i="22"/>
  <c r="L291" i="18"/>
  <c r="M291" i="18" s="1"/>
  <c r="N291" i="18" s="1"/>
  <c r="O291" i="18" s="1"/>
  <c r="L76" i="18"/>
  <c r="M76" i="18" s="1"/>
  <c r="N76" i="18" s="1"/>
  <c r="O76" i="18" s="1"/>
  <c r="AD78" i="22"/>
  <c r="AD37" i="22"/>
  <c r="L35" i="18"/>
  <c r="M35" i="18" s="1"/>
  <c r="N35" i="18" s="1"/>
  <c r="O35" i="18" s="1"/>
  <c r="AD305" i="22"/>
  <c r="L302" i="18"/>
  <c r="M302" i="18" s="1"/>
  <c r="N302" i="18" s="1"/>
  <c r="O302" i="18" s="1"/>
  <c r="AD105" i="22"/>
  <c r="L103" i="18"/>
  <c r="M103" i="18" s="1"/>
  <c r="N103" i="18" s="1"/>
  <c r="O103" i="18" s="1"/>
  <c r="AD70" i="22"/>
  <c r="L68" i="18"/>
  <c r="M68" i="18" s="1"/>
  <c r="N68" i="18" s="1"/>
  <c r="O68" i="18" s="1"/>
  <c r="AD304" i="22"/>
  <c r="L301" i="18"/>
  <c r="M301" i="18" s="1"/>
  <c r="N301" i="18" s="1"/>
  <c r="O301" i="18" s="1"/>
  <c r="L256" i="18"/>
  <c r="M256" i="18" s="1"/>
  <c r="N256" i="18" s="1"/>
  <c r="O256" i="18" s="1"/>
  <c r="AD259" i="22"/>
  <c r="AD85" i="22"/>
  <c r="L83" i="18"/>
  <c r="M83" i="18" s="1"/>
  <c r="N83" i="18" s="1"/>
  <c r="O83" i="18" s="1"/>
  <c r="AD168" i="22"/>
  <c r="L166" i="18"/>
  <c r="M166" i="18" s="1"/>
  <c r="N166" i="18" s="1"/>
  <c r="O166" i="18" s="1"/>
  <c r="AD112" i="22"/>
  <c r="L110" i="18"/>
  <c r="M110" i="18" s="1"/>
  <c r="N110" i="18" s="1"/>
  <c r="O110" i="18" s="1"/>
  <c r="AD132" i="22"/>
  <c r="L130" i="18"/>
  <c r="M130" i="18" s="1"/>
  <c r="N130" i="18" s="1"/>
  <c r="O130" i="18" s="1"/>
  <c r="AD265" i="22"/>
  <c r="L262" i="18"/>
  <c r="M262" i="18" s="1"/>
  <c r="N262" i="18" s="1"/>
  <c r="O262" i="18" s="1"/>
  <c r="AD145" i="22"/>
  <c r="L142" i="18"/>
  <c r="M142" i="18" s="1"/>
  <c r="N142" i="18" s="1"/>
  <c r="O142" i="18" s="1"/>
  <c r="AD202" i="22"/>
  <c r="L199" i="18"/>
  <c r="AD190" i="22"/>
  <c r="L189" i="18"/>
  <c r="M189" i="18" s="1"/>
  <c r="N189" i="18" s="1"/>
  <c r="O189" i="18" s="1"/>
  <c r="AD212" i="22"/>
  <c r="L209" i="18"/>
  <c r="M209" i="18" s="1"/>
  <c r="N209" i="18" s="1"/>
  <c r="O209" i="18" s="1"/>
  <c r="AD243" i="22"/>
  <c r="L240" i="18"/>
  <c r="M240" i="18" s="1"/>
  <c r="N240" i="18" s="1"/>
  <c r="O240" i="18" s="1"/>
  <c r="AD271" i="22"/>
  <c r="L268" i="18"/>
  <c r="M268" i="18" s="1"/>
  <c r="N268" i="18" s="1"/>
  <c r="O268" i="18" s="1"/>
  <c r="AD129" i="22"/>
  <c r="L127" i="18"/>
  <c r="M127" i="18" s="1"/>
  <c r="N127" i="18" s="1"/>
  <c r="O127" i="18" s="1"/>
  <c r="L287" i="18"/>
  <c r="M287" i="18" s="1"/>
  <c r="N287" i="18" s="1"/>
  <c r="O287" i="18" s="1"/>
  <c r="AD290" i="22"/>
  <c r="AD26" i="22"/>
  <c r="L24" i="18"/>
  <c r="M24" i="18" s="1"/>
  <c r="N24" i="18" s="1"/>
  <c r="O24" i="18" s="1"/>
  <c r="AD251" i="22"/>
  <c r="L248" i="18"/>
  <c r="M248" i="18" s="1"/>
  <c r="N248" i="18" s="1"/>
  <c r="O248" i="18" s="1"/>
  <c r="AD185" i="22"/>
  <c r="L183" i="18"/>
  <c r="M183" i="18" s="1"/>
  <c r="N183" i="18" s="1"/>
  <c r="O183" i="18" s="1"/>
  <c r="AD125" i="22"/>
  <c r="L123" i="18"/>
  <c r="M123" i="18" s="1"/>
  <c r="N123" i="18" s="1"/>
  <c r="O123" i="18" s="1"/>
  <c r="L283" i="18"/>
  <c r="M283" i="18" s="1"/>
  <c r="N283" i="18" s="1"/>
  <c r="O283" i="18" s="1"/>
  <c r="AD286" i="22"/>
  <c r="AD77" i="22"/>
  <c r="L75" i="18"/>
  <c r="M75" i="18" s="1"/>
  <c r="N75" i="18" s="1"/>
  <c r="O75" i="18" s="1"/>
  <c r="AD80" i="22"/>
  <c r="L78" i="18"/>
  <c r="M78" i="18" s="1"/>
  <c r="N78" i="18" s="1"/>
  <c r="O78" i="18" s="1"/>
  <c r="AD276" i="22"/>
  <c r="L273" i="18"/>
  <c r="M273" i="18" s="1"/>
  <c r="N273" i="18" s="1"/>
  <c r="O273" i="18" s="1"/>
  <c r="L304" i="18"/>
  <c r="M304" i="18" s="1"/>
  <c r="N304" i="18" s="1"/>
  <c r="O304" i="18" s="1"/>
  <c r="AD311" i="22"/>
  <c r="AD241" i="22"/>
  <c r="L238" i="18"/>
  <c r="M238" i="18" s="1"/>
  <c r="N238" i="18" s="1"/>
  <c r="O238" i="18" s="1"/>
  <c r="AD216" i="22"/>
  <c r="L213" i="18"/>
  <c r="M213" i="18" s="1"/>
  <c r="N213" i="18" s="1"/>
  <c r="O213" i="18" s="1"/>
  <c r="AD72" i="22"/>
  <c r="L70" i="18"/>
  <c r="M70" i="18" s="1"/>
  <c r="N70" i="18" s="1"/>
  <c r="O70" i="18" s="1"/>
  <c r="AD127" i="22"/>
  <c r="L125" i="18"/>
  <c r="M125" i="18" s="1"/>
  <c r="N125" i="18" s="1"/>
  <c r="O125" i="18" s="1"/>
  <c r="AD130" i="22"/>
  <c r="L128" i="18"/>
  <c r="M128" i="18" s="1"/>
  <c r="N128" i="18" s="1"/>
  <c r="O128" i="18" s="1"/>
  <c r="AD99" i="22"/>
  <c r="L97" i="18"/>
  <c r="M97" i="18" s="1"/>
  <c r="N97" i="18" s="1"/>
  <c r="O97" i="18" s="1"/>
  <c r="AD152" i="22"/>
  <c r="L149" i="18"/>
  <c r="M149" i="18" s="1"/>
  <c r="N149" i="18" s="1"/>
  <c r="O149" i="18" s="1"/>
  <c r="AD98" i="22"/>
  <c r="L96" i="18"/>
  <c r="M96" i="18" s="1"/>
  <c r="N96" i="18" s="1"/>
  <c r="O96" i="18" s="1"/>
  <c r="L269" i="18"/>
  <c r="M269" i="18" s="1"/>
  <c r="N269" i="18" s="1"/>
  <c r="O269" i="18" s="1"/>
  <c r="AD272" i="22"/>
  <c r="AD175" i="22"/>
  <c r="L173" i="18"/>
  <c r="M173" i="18" s="1"/>
  <c r="N173" i="18" s="1"/>
  <c r="O173" i="18" s="1"/>
  <c r="L267" i="18"/>
  <c r="M267" i="18" s="1"/>
  <c r="N267" i="18" s="1"/>
  <c r="O267" i="18" s="1"/>
  <c r="AD270" i="22"/>
  <c r="L216" i="18"/>
  <c r="M216" i="18" s="1"/>
  <c r="N216" i="18" s="1"/>
  <c r="O216" i="18" s="1"/>
  <c r="AD219" i="22"/>
  <c r="AD180" i="22"/>
  <c r="L178" i="18"/>
  <c r="M178" i="18" s="1"/>
  <c r="N178" i="18" s="1"/>
  <c r="O178" i="18" s="1"/>
  <c r="AD166" i="22"/>
  <c r="L164" i="18"/>
  <c r="M164" i="18" s="1"/>
  <c r="N164" i="18" s="1"/>
  <c r="O164" i="18" s="1"/>
  <c r="AD79" i="22"/>
  <c r="L77" i="18"/>
  <c r="M77" i="18" s="1"/>
  <c r="N77" i="18" s="1"/>
  <c r="O77" i="18" s="1"/>
  <c r="L207" i="18"/>
  <c r="M207" i="18" s="1"/>
  <c r="N207" i="18" s="1"/>
  <c r="O207" i="18" s="1"/>
  <c r="AD210" i="22"/>
  <c r="AD253" i="22"/>
  <c r="L250" i="18"/>
  <c r="M250" i="18" s="1"/>
  <c r="N250" i="18" s="1"/>
  <c r="O250" i="18" s="1"/>
  <c r="AD291" i="22"/>
  <c r="L288" i="18"/>
  <c r="M288" i="18" s="1"/>
  <c r="N288" i="18" s="1"/>
  <c r="O288" i="18" s="1"/>
  <c r="AD36" i="22"/>
  <c r="L34" i="18"/>
  <c r="M34" i="18" s="1"/>
  <c r="N34" i="18" s="1"/>
  <c r="O34" i="18" s="1"/>
  <c r="AD268" i="22"/>
  <c r="L265" i="18"/>
  <c r="M265" i="18" s="1"/>
  <c r="N265" i="18" s="1"/>
  <c r="O265" i="18" s="1"/>
  <c r="L272" i="18"/>
  <c r="M272" i="18" s="1"/>
  <c r="N272" i="18" s="1"/>
  <c r="O272" i="18" s="1"/>
  <c r="AD275" i="22"/>
  <c r="AD63" i="22"/>
  <c r="L61" i="18"/>
  <c r="M61" i="18" s="1"/>
  <c r="N61" i="18" s="1"/>
  <c r="O61" i="18" s="1"/>
  <c r="L286" i="18"/>
  <c r="M286" i="18" s="1"/>
  <c r="N286" i="18" s="1"/>
  <c r="O286" i="18" s="1"/>
  <c r="AD289" i="22"/>
  <c r="AD101" i="22"/>
  <c r="L99" i="18"/>
  <c r="M99" i="18" s="1"/>
  <c r="N99" i="18" s="1"/>
  <c r="O99" i="18" s="1"/>
  <c r="AD111" i="22"/>
  <c r="L109" i="18"/>
  <c r="AD191" i="22"/>
  <c r="L190" i="18"/>
  <c r="M190" i="18" s="1"/>
  <c r="N190" i="18" s="1"/>
  <c r="O190" i="18" s="1"/>
  <c r="AD232" i="22"/>
  <c r="L229" i="18"/>
  <c r="M229" i="18" s="1"/>
  <c r="N229" i="18" s="1"/>
  <c r="O229" i="18" s="1"/>
  <c r="L259" i="18"/>
  <c r="M259" i="18" s="1"/>
  <c r="N259" i="18" s="1"/>
  <c r="O259" i="18" s="1"/>
  <c r="AD262" i="22"/>
  <c r="L260" i="18"/>
  <c r="M260" i="18" s="1"/>
  <c r="N260" i="18" s="1"/>
  <c r="O260" i="18" s="1"/>
  <c r="AD263" i="22"/>
  <c r="AD136" i="22"/>
  <c r="L134" i="18"/>
  <c r="M134" i="18" s="1"/>
  <c r="N134" i="18" s="1"/>
  <c r="O134" i="18" s="1"/>
  <c r="AD247" i="22"/>
  <c r="L244" i="18"/>
  <c r="M244" i="18" s="1"/>
  <c r="N244" i="18" s="1"/>
  <c r="O244" i="18" s="1"/>
  <c r="AD177" i="22"/>
  <c r="L175" i="18"/>
  <c r="M175" i="18" s="1"/>
  <c r="N175" i="18" s="1"/>
  <c r="O175" i="18" s="1"/>
  <c r="AD93" i="22"/>
  <c r="L91" i="18"/>
  <c r="M91" i="18" s="1"/>
  <c r="N91" i="18" s="1"/>
  <c r="O91" i="18" s="1"/>
  <c r="AD71" i="22"/>
  <c r="L69" i="18"/>
  <c r="M69" i="18" s="1"/>
  <c r="N69" i="18" s="1"/>
  <c r="O69" i="18" s="1"/>
  <c r="AD84" i="22"/>
  <c r="L82" i="18"/>
  <c r="M82" i="18" s="1"/>
  <c r="N82" i="18" s="1"/>
  <c r="O82" i="18" s="1"/>
  <c r="AD44" i="22"/>
  <c r="L42" i="18"/>
  <c r="M42" i="18" s="1"/>
  <c r="N42" i="18" s="1"/>
  <c r="O42" i="18" s="1"/>
  <c r="AD224" i="22"/>
  <c r="L221" i="18"/>
  <c r="M221" i="18" s="1"/>
  <c r="N221" i="18" s="1"/>
  <c r="O221" i="18" s="1"/>
  <c r="AD43" i="22"/>
  <c r="L41" i="18"/>
  <c r="M41" i="18" s="1"/>
  <c r="N41" i="18" s="1"/>
  <c r="O41" i="18" s="1"/>
  <c r="AD16" i="22"/>
  <c r="L14" i="18"/>
  <c r="M14" i="18" s="1"/>
  <c r="N14" i="18" s="1"/>
  <c r="O14" i="18" s="1"/>
  <c r="AD204" i="22"/>
  <c r="L201" i="18"/>
  <c r="M201" i="18" s="1"/>
  <c r="N201" i="18" s="1"/>
  <c r="O201" i="18" s="1"/>
  <c r="AD88" i="22"/>
  <c r="L86" i="18"/>
  <c r="M86" i="18" s="1"/>
  <c r="N86" i="18" s="1"/>
  <c r="O86" i="18" s="1"/>
  <c r="AD195" i="22"/>
  <c r="L193" i="18"/>
  <c r="M193" i="18" s="1"/>
  <c r="N193" i="18" s="1"/>
  <c r="O193" i="18" s="1"/>
  <c r="AD244" i="22"/>
  <c r="L241" i="18"/>
  <c r="M241" i="18" s="1"/>
  <c r="N241" i="18" s="1"/>
  <c r="O241" i="18" s="1"/>
  <c r="L285" i="18"/>
  <c r="M285" i="18" s="1"/>
  <c r="N285" i="18" s="1"/>
  <c r="O285" i="18" s="1"/>
  <c r="AD288" i="22"/>
  <c r="AD118" i="22"/>
  <c r="L116" i="18"/>
  <c r="M116" i="18" s="1"/>
  <c r="N116" i="18" s="1"/>
  <c r="O116" i="18" s="1"/>
  <c r="AD120" i="22"/>
  <c r="L118" i="18"/>
  <c r="M118" i="18" s="1"/>
  <c r="N118" i="18" s="1"/>
  <c r="O118" i="18" s="1"/>
  <c r="AD139" i="22"/>
  <c r="L136" i="18"/>
  <c r="M136" i="18" s="1"/>
  <c r="N136" i="18" s="1"/>
  <c r="O136" i="18" s="1"/>
  <c r="AD83" i="22"/>
  <c r="L81" i="18"/>
  <c r="M81" i="18" s="1"/>
  <c r="N81" i="18" s="1"/>
  <c r="O81" i="18" s="1"/>
  <c r="AD159" i="22"/>
  <c r="L157" i="18"/>
  <c r="M157" i="18" s="1"/>
  <c r="N157" i="18" s="1"/>
  <c r="O157" i="18" s="1"/>
  <c r="AD236" i="22"/>
  <c r="L233" i="18"/>
  <c r="M233" i="18" s="1"/>
  <c r="N233" i="18" s="1"/>
  <c r="O233" i="18" s="1"/>
  <c r="AD189" i="22"/>
  <c r="L187" i="18"/>
  <c r="M187" i="18" s="1"/>
  <c r="N187" i="18" s="1"/>
  <c r="O187" i="18" s="1"/>
  <c r="L52" i="18"/>
  <c r="M52" i="18" s="1"/>
  <c r="N52" i="18" s="1"/>
  <c r="O52" i="18" s="1"/>
  <c r="AD54" i="22"/>
  <c r="AD207" i="22"/>
  <c r="L205" i="18"/>
  <c r="M205" i="18" s="1"/>
  <c r="N205" i="18" s="1"/>
  <c r="O205" i="18" s="1"/>
  <c r="AD146" i="22"/>
  <c r="L143" i="18"/>
  <c r="M143" i="18" s="1"/>
  <c r="N143" i="18" s="1"/>
  <c r="O143" i="18" s="1"/>
  <c r="AD257" i="22"/>
  <c r="L254" i="18"/>
  <c r="M254" i="18" s="1"/>
  <c r="N254" i="18" s="1"/>
  <c r="O254" i="18" s="1"/>
  <c r="AD298" i="22"/>
  <c r="L295" i="18"/>
  <c r="AD184" i="22"/>
  <c r="L182" i="18"/>
  <c r="M182" i="18" s="1"/>
  <c r="N182" i="18" s="1"/>
  <c r="O182" i="18" s="1"/>
  <c r="AD46" i="22"/>
  <c r="L44" i="18"/>
  <c r="M44" i="18" s="1"/>
  <c r="N44" i="18" s="1"/>
  <c r="O44" i="18" s="1"/>
  <c r="AD157" i="22"/>
  <c r="L155" i="18"/>
  <c r="M155" i="18" s="1"/>
  <c r="N155" i="18" s="1"/>
  <c r="O155" i="18" s="1"/>
  <c r="AD117" i="22"/>
  <c r="L115" i="18"/>
  <c r="M115" i="18" s="1"/>
  <c r="N115" i="18" s="1"/>
  <c r="O115" i="18" s="1"/>
  <c r="L264" i="18"/>
  <c r="M264" i="18" s="1"/>
  <c r="N264" i="18" s="1"/>
  <c r="O264" i="18" s="1"/>
  <c r="AD267" i="22"/>
  <c r="AD149" i="22"/>
  <c r="L146" i="18"/>
  <c r="M146" i="18" s="1"/>
  <c r="N146" i="18" s="1"/>
  <c r="O146" i="18" s="1"/>
  <c r="AD217" i="22"/>
  <c r="L214" i="18"/>
  <c r="M214" i="18" s="1"/>
  <c r="N214" i="18" s="1"/>
  <c r="O214" i="18" s="1"/>
  <c r="AD161" i="22"/>
  <c r="L159" i="18"/>
  <c r="M159" i="18" s="1"/>
  <c r="N159" i="18" s="1"/>
  <c r="O159" i="18" s="1"/>
  <c r="AD95" i="22"/>
  <c r="L93" i="18"/>
  <c r="M93" i="18" s="1"/>
  <c r="N93" i="18" s="1"/>
  <c r="O93" i="18" s="1"/>
  <c r="L294" i="18"/>
  <c r="M294" i="18" s="1"/>
  <c r="N294" i="18" s="1"/>
  <c r="O294" i="18" s="1"/>
  <c r="AD297" i="22"/>
  <c r="AD82" i="22"/>
  <c r="L80" i="18"/>
  <c r="M80" i="18" s="1"/>
  <c r="N80" i="18" s="1"/>
  <c r="O80" i="18" s="1"/>
  <c r="AD34" i="22"/>
  <c r="L32" i="18"/>
  <c r="M32" i="18" s="1"/>
  <c r="N32" i="18" s="1"/>
  <c r="O32" i="18" s="1"/>
  <c r="AD299" i="22"/>
  <c r="L296" i="18"/>
  <c r="M296" i="18" s="1"/>
  <c r="N296" i="18" s="1"/>
  <c r="O296" i="18" s="1"/>
  <c r="AD28" i="22"/>
  <c r="L26" i="18"/>
  <c r="M26" i="18" s="1"/>
  <c r="N26" i="18" s="1"/>
  <c r="O26" i="18" s="1"/>
  <c r="AD86" i="22"/>
  <c r="L84" i="18"/>
  <c r="M84" i="18" s="1"/>
  <c r="N84" i="18" s="1"/>
  <c r="O84" i="18" s="1"/>
  <c r="AD21" i="22"/>
  <c r="L19" i="18"/>
  <c r="M19" i="18" s="1"/>
  <c r="N19" i="18" s="1"/>
  <c r="O19" i="18" s="1"/>
  <c r="AD114" i="22"/>
  <c r="L112" i="18"/>
  <c r="M112" i="18" s="1"/>
  <c r="N112" i="18" s="1"/>
  <c r="O112" i="18" s="1"/>
  <c r="AD154" i="22"/>
  <c r="L151" i="18"/>
  <c r="M151" i="18" s="1"/>
  <c r="N151" i="18" s="1"/>
  <c r="O151" i="18" s="1"/>
  <c r="AD181" i="22"/>
  <c r="L179" i="18"/>
  <c r="M179" i="18" s="1"/>
  <c r="N179" i="18" s="1"/>
  <c r="O179" i="18" s="1"/>
  <c r="L124" i="18"/>
  <c r="M124" i="18" s="1"/>
  <c r="N124" i="18" s="1"/>
  <c r="O124" i="18" s="1"/>
  <c r="AD126" i="22"/>
  <c r="AD221" i="22"/>
  <c r="L218" i="18"/>
  <c r="M218" i="18" s="1"/>
  <c r="N218" i="18" s="1"/>
  <c r="O218" i="18" s="1"/>
  <c r="AD133" i="22"/>
  <c r="L131" i="18"/>
  <c r="M131" i="18" s="1"/>
  <c r="N131" i="18" s="1"/>
  <c r="O131" i="18" s="1"/>
  <c r="AD33" i="22"/>
  <c r="L31" i="18"/>
  <c r="M31" i="18" s="1"/>
  <c r="N31" i="18" s="1"/>
  <c r="O31" i="18" s="1"/>
  <c r="AD198" i="22"/>
  <c r="L195" i="18"/>
  <c r="M195" i="18" s="1"/>
  <c r="N195" i="18" s="1"/>
  <c r="O195" i="18" s="1"/>
  <c r="AD113" i="22"/>
  <c r="L111" i="18"/>
  <c r="M111" i="18" s="1"/>
  <c r="N111" i="18" s="1"/>
  <c r="O111" i="18" s="1"/>
  <c r="AD200" i="22"/>
  <c r="L197" i="18"/>
  <c r="M197" i="18" s="1"/>
  <c r="N197" i="18" s="1"/>
  <c r="O197" i="18" s="1"/>
  <c r="AD245" i="22"/>
  <c r="L242" i="18"/>
  <c r="M242" i="18" s="1"/>
  <c r="N242" i="18" s="1"/>
  <c r="O242" i="18" s="1"/>
  <c r="L185" i="18"/>
  <c r="M185" i="18" s="1"/>
  <c r="N185" i="18" s="1"/>
  <c r="O185" i="18" s="1"/>
  <c r="AD187" i="22"/>
  <c r="AD23" i="22"/>
  <c r="L21" i="18"/>
  <c r="M21" i="18" s="1"/>
  <c r="N21" i="18" s="1"/>
  <c r="O21" i="18" s="1"/>
  <c r="L274" i="18"/>
  <c r="M274" i="18" s="1"/>
  <c r="N274" i="18" s="1"/>
  <c r="AD277" i="22"/>
  <c r="AD135" i="22"/>
  <c r="L133" i="18"/>
  <c r="M133" i="18" s="1"/>
  <c r="N133" i="18" s="1"/>
  <c r="O133" i="18" s="1"/>
  <c r="AD235" i="22"/>
  <c r="L232" i="18"/>
  <c r="M232" i="18" s="1"/>
  <c r="N232" i="18" s="1"/>
  <c r="O232" i="18" s="1"/>
  <c r="AD156" i="22"/>
  <c r="L154" i="18"/>
  <c r="M154" i="18" s="1"/>
  <c r="N154" i="18" s="1"/>
  <c r="O154" i="18" s="1"/>
  <c r="AD234" i="22"/>
  <c r="L231" i="18"/>
  <c r="M231" i="18" s="1"/>
  <c r="N231" i="18" s="1"/>
  <c r="O231" i="18" s="1"/>
  <c r="AD167" i="22"/>
  <c r="L165" i="18"/>
  <c r="M165" i="18" s="1"/>
  <c r="N165" i="18" s="1"/>
  <c r="O165" i="18" s="1"/>
  <c r="AD155" i="22"/>
  <c r="L152" i="18"/>
  <c r="M152" i="18" s="1"/>
  <c r="AD201" i="22"/>
  <c r="L198" i="18"/>
  <c r="M198" i="18" s="1"/>
  <c r="N198" i="18" s="1"/>
  <c r="O198" i="18" s="1"/>
  <c r="C192" i="22"/>
  <c r="AM192" i="22" s="1"/>
  <c r="N5" i="18"/>
  <c r="D8" i="22"/>
  <c r="AN8" i="22" s="1"/>
  <c r="I309" i="18"/>
  <c r="P309" i="18" s="1"/>
  <c r="S324" i="10"/>
  <c r="E324" i="10" s="1"/>
  <c r="G324" i="10"/>
  <c r="L320" i="9"/>
  <c r="M320" i="9" s="1"/>
  <c r="S320" i="10"/>
  <c r="E320" i="10" s="1"/>
  <c r="S321" i="10"/>
  <c r="E321" i="10" s="1"/>
  <c r="G323" i="9"/>
  <c r="H323" i="9" s="1"/>
  <c r="S323" i="10"/>
  <c r="L322" i="9"/>
  <c r="M322" i="9" s="1"/>
  <c r="S322" i="10"/>
  <c r="E322" i="10" s="1"/>
  <c r="L319" i="9"/>
  <c r="M319" i="9" s="1"/>
  <c r="S319" i="10"/>
  <c r="E319" i="10" s="1"/>
  <c r="G320" i="9"/>
  <c r="AI318" i="22" s="1"/>
  <c r="AJ318" i="22" s="1"/>
  <c r="L323" i="9"/>
  <c r="M323" i="9" s="1"/>
  <c r="L321" i="9"/>
  <c r="M321" i="9" s="1"/>
  <c r="L324" i="9"/>
  <c r="M324" i="9" s="1"/>
  <c r="G322" i="9"/>
  <c r="AI320" i="22" s="1"/>
  <c r="AJ320" i="22" s="1"/>
  <c r="G319" i="9"/>
  <c r="AI317" i="22" s="1"/>
  <c r="AJ317" i="22" s="1"/>
  <c r="I308" i="18"/>
  <c r="C307" i="22"/>
  <c r="AM307" i="22" s="1"/>
  <c r="D307" i="22"/>
  <c r="AN307" i="22" s="1"/>
  <c r="E307" i="22"/>
  <c r="AO307" i="22" s="1"/>
  <c r="F307" i="22"/>
  <c r="AP307" i="22" s="1"/>
  <c r="P251" i="9"/>
  <c r="Q251" i="9" s="1"/>
  <c r="P112" i="9"/>
  <c r="Q112" i="9" s="1"/>
  <c r="D312" i="22"/>
  <c r="AN312" i="22" s="1"/>
  <c r="E312" i="22"/>
  <c r="AO312" i="22" s="1"/>
  <c r="F312" i="22"/>
  <c r="AP312" i="22" s="1"/>
  <c r="G322" i="10"/>
  <c r="G319" i="10"/>
  <c r="G320" i="10"/>
  <c r="G321" i="10"/>
  <c r="G323" i="10"/>
  <c r="G321" i="9"/>
  <c r="AI319" i="22" s="1"/>
  <c r="AJ319" i="22" s="1"/>
  <c r="I310" i="18"/>
  <c r="P310" i="18" s="1"/>
  <c r="I234" i="18"/>
  <c r="P234" i="18" s="1"/>
  <c r="P15" i="9"/>
  <c r="I10" i="18"/>
  <c r="P12" i="9"/>
  <c r="P317" i="9"/>
  <c r="Q317" i="9" s="1"/>
  <c r="AA40" i="13"/>
  <c r="AB40" i="13"/>
  <c r="I120" i="18"/>
  <c r="P120" i="18" s="1"/>
  <c r="I292" i="18"/>
  <c r="P292" i="18" s="1"/>
  <c r="I7" i="18"/>
  <c r="P7" i="18" s="1"/>
  <c r="I6" i="18"/>
  <c r="P6" i="18" s="1"/>
  <c r="D320" i="3"/>
  <c r="E320" i="3"/>
  <c r="C320" i="3"/>
  <c r="I30" i="18"/>
  <c r="P30" i="18" s="1"/>
  <c r="I186" i="18"/>
  <c r="P186" i="18" s="1"/>
  <c r="AD324" i="22" l="1"/>
  <c r="N188" i="18"/>
  <c r="O188" i="18" s="1"/>
  <c r="O94" i="18"/>
  <c r="M22" i="18"/>
  <c r="N22" i="18" s="1"/>
  <c r="O22" i="18" s="1"/>
  <c r="O226" i="18"/>
  <c r="M199" i="18"/>
  <c r="N199" i="18" s="1"/>
  <c r="O199" i="18" s="1"/>
  <c r="N303" i="18"/>
  <c r="O303" i="18" s="1"/>
  <c r="C310" i="22"/>
  <c r="AM310" i="22" s="1"/>
  <c r="P308" i="18"/>
  <c r="N152" i="18"/>
  <c r="O152" i="18" s="1"/>
  <c r="M295" i="18"/>
  <c r="N295" i="18" s="1"/>
  <c r="O295" i="18" s="1"/>
  <c r="N236" i="18"/>
  <c r="O236" i="18" s="1"/>
  <c r="O274" i="18"/>
  <c r="M109" i="18"/>
  <c r="N109" i="18" s="1"/>
  <c r="O109" i="18" s="1"/>
  <c r="N284" i="18"/>
  <c r="O284" i="18" s="1"/>
  <c r="P10" i="18"/>
  <c r="Q10" i="18" s="1"/>
  <c r="N255" i="18"/>
  <c r="O255" i="18" s="1"/>
  <c r="M121" i="18"/>
  <c r="N121" i="18" s="1"/>
  <c r="O121" i="18" s="1"/>
  <c r="W323" i="10"/>
  <c r="X323" i="10" s="1"/>
  <c r="AI321" i="22"/>
  <c r="AJ321" i="22" s="1"/>
  <c r="G324" i="9"/>
  <c r="Q191" i="18"/>
  <c r="G192" i="22"/>
  <c r="Q317" i="10"/>
  <c r="C312" i="22"/>
  <c r="AM312" i="22" s="1"/>
  <c r="P316" i="9"/>
  <c r="O5" i="18"/>
  <c r="F8" i="22" s="1"/>
  <c r="AP8" i="22" s="1"/>
  <c r="E8" i="22"/>
  <c r="AO8" i="22" s="1"/>
  <c r="P275" i="9"/>
  <c r="P307" i="9"/>
  <c r="P252" i="9"/>
  <c r="P262" i="9"/>
  <c r="P261" i="9"/>
  <c r="P260" i="9"/>
  <c r="P272" i="9"/>
  <c r="P258" i="9"/>
  <c r="P300" i="9"/>
  <c r="P273" i="9"/>
  <c r="P267" i="9"/>
  <c r="P312" i="9"/>
  <c r="P196" i="9"/>
  <c r="Q196" i="9" s="1"/>
  <c r="P274" i="9"/>
  <c r="P268" i="9"/>
  <c r="I217" i="18"/>
  <c r="P222" i="9"/>
  <c r="I220" i="18"/>
  <c r="P225" i="9"/>
  <c r="I204" i="18"/>
  <c r="I31" i="18"/>
  <c r="F310" i="22"/>
  <c r="AP310" i="22" s="1"/>
  <c r="E310" i="22"/>
  <c r="AO310" i="22" s="1"/>
  <c r="D310" i="22"/>
  <c r="AN310" i="22" s="1"/>
  <c r="E323" i="10"/>
  <c r="P224" i="9"/>
  <c r="I275" i="18"/>
  <c r="I241" i="18"/>
  <c r="P246" i="9"/>
  <c r="I56" i="18"/>
  <c r="I203" i="18"/>
  <c r="P208" i="9"/>
  <c r="H320" i="9"/>
  <c r="W320" i="10" s="1"/>
  <c r="X320" i="10" s="1"/>
  <c r="H322" i="9"/>
  <c r="W322" i="10" s="1"/>
  <c r="X322" i="10" s="1"/>
  <c r="H321" i="9"/>
  <c r="W321" i="10" s="1"/>
  <c r="X321" i="10" s="1"/>
  <c r="H319" i="9"/>
  <c r="W319" i="10" s="1"/>
  <c r="X319" i="10" s="1"/>
  <c r="I299" i="18"/>
  <c r="I65" i="18"/>
  <c r="I95" i="18"/>
  <c r="I219" i="18"/>
  <c r="I59" i="18"/>
  <c r="E61" i="22" s="1"/>
  <c r="AO61" i="22" s="1"/>
  <c r="I164" i="18"/>
  <c r="E237" i="22"/>
  <c r="AO237" i="22" s="1"/>
  <c r="F237" i="22"/>
  <c r="AP237" i="22" s="1"/>
  <c r="I140" i="18"/>
  <c r="P140" i="18" s="1"/>
  <c r="E13" i="22"/>
  <c r="AO13" i="22" s="1"/>
  <c r="F13" i="22"/>
  <c r="AP13" i="22" s="1"/>
  <c r="F313" i="22"/>
  <c r="AP313" i="22" s="1"/>
  <c r="C313" i="22"/>
  <c r="AM313" i="22" s="1"/>
  <c r="D313" i="22"/>
  <c r="AN313" i="22" s="1"/>
  <c r="E313" i="22"/>
  <c r="AO313" i="22" s="1"/>
  <c r="C122" i="22"/>
  <c r="AM122" i="22" s="1"/>
  <c r="D122" i="22"/>
  <c r="AN122" i="22" s="1"/>
  <c r="E122" i="22"/>
  <c r="AO122" i="22" s="1"/>
  <c r="F122" i="22"/>
  <c r="AP122" i="22" s="1"/>
  <c r="C188" i="22"/>
  <c r="AM188" i="22" s="1"/>
  <c r="E188" i="22"/>
  <c r="AO188" i="22" s="1"/>
  <c r="F188" i="22"/>
  <c r="AP188" i="22" s="1"/>
  <c r="D188" i="22"/>
  <c r="AN188" i="22" s="1"/>
  <c r="D9" i="22"/>
  <c r="AN9" i="22" s="1"/>
  <c r="E9" i="22"/>
  <c r="AO9" i="22" s="1"/>
  <c r="C9" i="22"/>
  <c r="AM9" i="22" s="1"/>
  <c r="F9" i="22"/>
  <c r="AP9" i="22" s="1"/>
  <c r="F10" i="22"/>
  <c r="AP10" i="22" s="1"/>
  <c r="C10" i="22"/>
  <c r="AM10" i="22" s="1"/>
  <c r="D10" i="22"/>
  <c r="AN10" i="22" s="1"/>
  <c r="E10" i="22"/>
  <c r="AO10" i="22" s="1"/>
  <c r="F32" i="22"/>
  <c r="AP32" i="22" s="1"/>
  <c r="C32" i="22"/>
  <c r="AM32" i="22" s="1"/>
  <c r="E32" i="22"/>
  <c r="AO32" i="22" s="1"/>
  <c r="D32" i="22"/>
  <c r="AN32" i="22" s="1"/>
  <c r="F295" i="22"/>
  <c r="AP295" i="22" s="1"/>
  <c r="C295" i="22"/>
  <c r="AM295" i="22" s="1"/>
  <c r="D295" i="22"/>
  <c r="AN295" i="22" s="1"/>
  <c r="E295" i="22"/>
  <c r="AO295" i="22" s="1"/>
  <c r="I104" i="18"/>
  <c r="P104" i="18" s="1"/>
  <c r="P36" i="9"/>
  <c r="T317" i="10"/>
  <c r="P259" i="9"/>
  <c r="P171" i="9"/>
  <c r="P17" i="9"/>
  <c r="P236" i="9"/>
  <c r="P219" i="9"/>
  <c r="P232" i="9"/>
  <c r="P14" i="9"/>
  <c r="P227" i="9"/>
  <c r="P202" i="9"/>
  <c r="P18" i="9"/>
  <c r="P204" i="9"/>
  <c r="P71" i="9"/>
  <c r="P315" i="9"/>
  <c r="Q315" i="9" s="1"/>
  <c r="P207" i="9"/>
  <c r="P16" i="9"/>
  <c r="P231" i="9"/>
  <c r="P199" i="9"/>
  <c r="P270" i="9"/>
  <c r="P101" i="9"/>
  <c r="P110" i="9"/>
  <c r="P247" i="9"/>
  <c r="P269" i="9"/>
  <c r="P271" i="9"/>
  <c r="P250" i="9"/>
  <c r="P244" i="9"/>
  <c r="P226" i="9"/>
  <c r="P234" i="9"/>
  <c r="P146" i="9"/>
  <c r="P291" i="9"/>
  <c r="P237" i="9"/>
  <c r="P249" i="9"/>
  <c r="P13" i="9"/>
  <c r="P220" i="9"/>
  <c r="P223" i="9"/>
  <c r="P203" i="9"/>
  <c r="P206" i="9"/>
  <c r="P256" i="9"/>
  <c r="P190" i="9"/>
  <c r="P263" i="9"/>
  <c r="P11" i="9"/>
  <c r="P170" i="9"/>
  <c r="P85" i="9"/>
  <c r="P238" i="9"/>
  <c r="P253" i="9"/>
  <c r="P228" i="9"/>
  <c r="P70" i="9"/>
  <c r="P248" i="9"/>
  <c r="P254" i="9"/>
  <c r="P37" i="9"/>
  <c r="P255" i="9"/>
  <c r="P245" i="9"/>
  <c r="P123" i="9"/>
  <c r="P65" i="9"/>
  <c r="P100" i="9"/>
  <c r="P111" i="9"/>
  <c r="P221" i="9"/>
  <c r="P318" i="9"/>
  <c r="Q318" i="9" s="1"/>
  <c r="P62" i="9"/>
  <c r="P264" i="9"/>
  <c r="P257" i="9"/>
  <c r="P242" i="9"/>
  <c r="P235" i="9"/>
  <c r="P230" i="9"/>
  <c r="P34" i="9"/>
  <c r="P279" i="9"/>
  <c r="P200" i="9"/>
  <c r="P63" i="9"/>
  <c r="P229" i="9"/>
  <c r="P243" i="9"/>
  <c r="P265" i="9"/>
  <c r="P201" i="9"/>
  <c r="P233" i="9"/>
  <c r="P205" i="9"/>
  <c r="P296" i="9"/>
  <c r="P240" i="9"/>
  <c r="P88" i="9"/>
  <c r="P241" i="9"/>
  <c r="AC40" i="13"/>
  <c r="I235" i="18"/>
  <c r="P235" i="18" s="1"/>
  <c r="I66" i="18"/>
  <c r="P66" i="18" s="1"/>
  <c r="I248" i="18"/>
  <c r="P248" i="18" s="1"/>
  <c r="I156" i="18"/>
  <c r="P156" i="18" s="1"/>
  <c r="I129" i="18"/>
  <c r="P129" i="18" s="1"/>
  <c r="I239" i="18"/>
  <c r="P239" i="18" s="1"/>
  <c r="I151" i="18"/>
  <c r="P151" i="18" s="1"/>
  <c r="I43" i="18"/>
  <c r="P43" i="18" s="1"/>
  <c r="I295" i="18"/>
  <c r="I198" i="18"/>
  <c r="P198" i="18" s="1"/>
  <c r="I69" i="18"/>
  <c r="P69" i="18" s="1"/>
  <c r="I279" i="18"/>
  <c r="P279" i="18" s="1"/>
  <c r="I81" i="18"/>
  <c r="P81" i="18" s="1"/>
  <c r="I157" i="18"/>
  <c r="P157" i="18" s="1"/>
  <c r="I47" i="18"/>
  <c r="P47" i="18" s="1"/>
  <c r="I231" i="18"/>
  <c r="P231" i="18" s="1"/>
  <c r="I202" i="18"/>
  <c r="P202" i="18" s="1"/>
  <c r="I127" i="18"/>
  <c r="P127" i="18" s="1"/>
  <c r="I237" i="18"/>
  <c r="P237" i="18" s="1"/>
  <c r="I296" i="18"/>
  <c r="P296" i="18" s="1"/>
  <c r="I62" i="18"/>
  <c r="P62" i="18" s="1"/>
  <c r="I303" i="18"/>
  <c r="I82" i="18"/>
  <c r="P82" i="18" s="1"/>
  <c r="I167" i="18"/>
  <c r="P167" i="18" s="1"/>
  <c r="I223" i="18"/>
  <c r="P223" i="18" s="1"/>
  <c r="I37" i="18"/>
  <c r="P37" i="18" s="1"/>
  <c r="I91" i="18"/>
  <c r="P91" i="18" s="1"/>
  <c r="I206" i="18"/>
  <c r="P206" i="18" s="1"/>
  <c r="I158" i="18"/>
  <c r="P158" i="18" s="1"/>
  <c r="I152" i="18"/>
  <c r="P152" i="18" s="1"/>
  <c r="I169" i="18"/>
  <c r="P169" i="18" s="1"/>
  <c r="I8" i="18"/>
  <c r="P8" i="18" s="1"/>
  <c r="I232" i="18"/>
  <c r="P232" i="18" s="1"/>
  <c r="I29" i="18"/>
  <c r="P29" i="18" s="1"/>
  <c r="I201" i="18"/>
  <c r="P201" i="18" s="1"/>
  <c r="I51" i="18"/>
  <c r="P51" i="18" s="1"/>
  <c r="I103" i="18"/>
  <c r="P103" i="18" s="1"/>
  <c r="I11" i="18"/>
  <c r="P11" i="18" s="1"/>
  <c r="I175" i="18"/>
  <c r="P175" i="18" s="1"/>
  <c r="I171" i="18"/>
  <c r="P171" i="18" s="1"/>
  <c r="I181" i="18"/>
  <c r="P181" i="18" s="1"/>
  <c r="I130" i="18"/>
  <c r="P130" i="18" s="1"/>
  <c r="I222" i="18"/>
  <c r="P222" i="18" s="1"/>
  <c r="I278" i="18"/>
  <c r="P278" i="18" s="1"/>
  <c r="I108" i="18"/>
  <c r="P108" i="18" s="1"/>
  <c r="I125" i="18"/>
  <c r="P125" i="18" s="1"/>
  <c r="I70" i="18"/>
  <c r="P70" i="18" s="1"/>
  <c r="I245" i="18"/>
  <c r="P245" i="18" s="1"/>
  <c r="I119" i="18"/>
  <c r="P119" i="18" s="1"/>
  <c r="I192" i="18"/>
  <c r="P192" i="18" s="1"/>
  <c r="I225" i="18"/>
  <c r="P225" i="18" s="1"/>
  <c r="I153" i="18"/>
  <c r="P153" i="18" s="1"/>
  <c r="I27" i="18"/>
  <c r="P27" i="18" s="1"/>
  <c r="I178" i="18"/>
  <c r="P178" i="18" s="1"/>
  <c r="I205" i="18"/>
  <c r="P205" i="18" s="1"/>
  <c r="I58" i="18"/>
  <c r="P58" i="18" s="1"/>
  <c r="I207" i="18"/>
  <c r="P207" i="18" s="1"/>
  <c r="I236" i="18"/>
  <c r="I54" i="18"/>
  <c r="P54" i="18" s="1"/>
  <c r="I282" i="18"/>
  <c r="P282" i="18" s="1"/>
  <c r="I306" i="18"/>
  <c r="P306" i="18" s="1"/>
  <c r="I94" i="18"/>
  <c r="P94" i="18" s="1"/>
  <c r="I290" i="18"/>
  <c r="P290" i="18" s="1"/>
  <c r="I287" i="18"/>
  <c r="P287" i="18" s="1"/>
  <c r="I280" i="18"/>
  <c r="P280" i="18" s="1"/>
  <c r="I144" i="18"/>
  <c r="P144" i="18" s="1"/>
  <c r="I109" i="18"/>
  <c r="P109" i="18" s="1"/>
  <c r="I88" i="18"/>
  <c r="P88" i="18" s="1"/>
  <c r="I188" i="18"/>
  <c r="I76" i="18"/>
  <c r="P76" i="18" s="1"/>
  <c r="I68" i="18"/>
  <c r="P68" i="18" s="1"/>
  <c r="I288" i="18"/>
  <c r="P288" i="18" s="1"/>
  <c r="I63" i="18"/>
  <c r="P63" i="18" s="1"/>
  <c r="I41" i="18"/>
  <c r="P41" i="18" s="1"/>
  <c r="I230" i="18"/>
  <c r="P230" i="18" s="1"/>
  <c r="I298" i="18"/>
  <c r="P298" i="18" s="1"/>
  <c r="I246" i="18"/>
  <c r="P246" i="18" s="1"/>
  <c r="I226" i="18"/>
  <c r="I12" i="18"/>
  <c r="P12" i="18" s="1"/>
  <c r="I40" i="18"/>
  <c r="P40" i="18" s="1"/>
  <c r="I147" i="18"/>
  <c r="P147" i="18" s="1"/>
  <c r="I165" i="18"/>
  <c r="P165" i="18" s="1"/>
  <c r="I281" i="18"/>
  <c r="P281" i="18" s="1"/>
  <c r="I112" i="18"/>
  <c r="P112" i="18" s="1"/>
  <c r="I215" i="18"/>
  <c r="P215" i="18" s="1"/>
  <c r="I44" i="18"/>
  <c r="P44" i="18" s="1"/>
  <c r="I185" i="18"/>
  <c r="P185" i="18" s="1"/>
  <c r="I254" i="18"/>
  <c r="P254" i="18" s="1"/>
  <c r="I256" i="18"/>
  <c r="P256" i="18" s="1"/>
  <c r="I267" i="18"/>
  <c r="P267" i="18" s="1"/>
  <c r="I161" i="18"/>
  <c r="P161" i="18" s="1"/>
  <c r="I28" i="18"/>
  <c r="P28" i="18" s="1"/>
  <c r="I266" i="18"/>
  <c r="P266" i="18" s="1"/>
  <c r="I200" i="18"/>
  <c r="P200" i="18" s="1"/>
  <c r="I36" i="18"/>
  <c r="P36" i="18" s="1"/>
  <c r="I97" i="18"/>
  <c r="P97" i="18" s="1"/>
  <c r="I262" i="18"/>
  <c r="P262" i="18" s="1"/>
  <c r="I216" i="18"/>
  <c r="P216" i="18" s="1"/>
  <c r="I208" i="18"/>
  <c r="P208" i="18" s="1"/>
  <c r="I67" i="18"/>
  <c r="P67" i="18" s="1"/>
  <c r="I46" i="18"/>
  <c r="P46" i="18" s="1"/>
  <c r="I137" i="18"/>
  <c r="P137" i="18" s="1"/>
  <c r="I89" i="18"/>
  <c r="P89" i="18" s="1"/>
  <c r="I213" i="18"/>
  <c r="P213" i="18" s="1"/>
  <c r="I272" i="18"/>
  <c r="P272" i="18" s="1"/>
  <c r="I218" i="18"/>
  <c r="P218" i="18" s="1"/>
  <c r="I72" i="18"/>
  <c r="P72" i="18" s="1"/>
  <c r="I138" i="18"/>
  <c r="P138" i="18" s="1"/>
  <c r="I221" i="18"/>
  <c r="P221" i="18" s="1"/>
  <c r="I57" i="18"/>
  <c r="P57" i="18" s="1"/>
  <c r="I300" i="18"/>
  <c r="P300" i="18" s="1"/>
  <c r="I17" i="18"/>
  <c r="P17" i="18" s="1"/>
  <c r="I24" i="18"/>
  <c r="P24" i="18" s="1"/>
  <c r="I189" i="18"/>
  <c r="P189" i="18" s="1"/>
  <c r="I110" i="18"/>
  <c r="P110" i="18" s="1"/>
  <c r="I14" i="18"/>
  <c r="P14" i="18" s="1"/>
  <c r="I159" i="18"/>
  <c r="P159" i="18" s="1"/>
  <c r="I302" i="18"/>
  <c r="P302" i="18" s="1"/>
  <c r="I133" i="18"/>
  <c r="P133" i="18" s="1"/>
  <c r="I99" i="18"/>
  <c r="P99" i="18" s="1"/>
  <c r="I196" i="18"/>
  <c r="P196" i="18" s="1"/>
  <c r="I190" i="18"/>
  <c r="P190" i="18" s="1"/>
  <c r="I293" i="18"/>
  <c r="P293" i="18" s="1"/>
  <c r="I182" i="18"/>
  <c r="P182" i="18" s="1"/>
  <c r="I117" i="18"/>
  <c r="P117" i="18" s="1"/>
  <c r="I180" i="18"/>
  <c r="P180" i="18" s="1"/>
  <c r="I285" i="18"/>
  <c r="P285" i="18" s="1"/>
  <c r="I174" i="18"/>
  <c r="P174" i="18" s="1"/>
  <c r="I71" i="18"/>
  <c r="P71" i="18" s="1"/>
  <c r="I115" i="18"/>
  <c r="P115" i="18" s="1"/>
  <c r="I155" i="18"/>
  <c r="P155" i="18" s="1"/>
  <c r="I224" i="18"/>
  <c r="P224" i="18" s="1"/>
  <c r="I53" i="18"/>
  <c r="P53" i="18" s="1"/>
  <c r="I55" i="18"/>
  <c r="P55" i="18" s="1"/>
  <c r="I92" i="18"/>
  <c r="P92" i="18" s="1"/>
  <c r="I304" i="18"/>
  <c r="P304" i="18" s="1"/>
  <c r="I163" i="18"/>
  <c r="P163" i="18" s="1"/>
  <c r="I141" i="18"/>
  <c r="P141" i="18" s="1"/>
  <c r="I289" i="18"/>
  <c r="P289" i="18" s="1"/>
  <c r="I307" i="18"/>
  <c r="P307" i="18" s="1"/>
  <c r="I100" i="18"/>
  <c r="P100" i="18" s="1"/>
  <c r="I121" i="18"/>
  <c r="I176" i="18"/>
  <c r="P176" i="18" s="1"/>
  <c r="I83" i="18"/>
  <c r="P83" i="18" s="1"/>
  <c r="I240" i="18"/>
  <c r="P240" i="18" s="1"/>
  <c r="I168" i="18"/>
  <c r="P168" i="18" s="1"/>
  <c r="I114" i="18"/>
  <c r="P114" i="18" s="1"/>
  <c r="I118" i="18"/>
  <c r="P118" i="18" s="1"/>
  <c r="I124" i="18"/>
  <c r="P124" i="18" s="1"/>
  <c r="I277" i="18"/>
  <c r="P277" i="18" s="1"/>
  <c r="I105" i="18"/>
  <c r="P105" i="18" s="1"/>
  <c r="I38" i="18"/>
  <c r="P38" i="18" s="1"/>
  <c r="I146" i="18"/>
  <c r="P146" i="18" s="1"/>
  <c r="I199" i="18"/>
  <c r="I75" i="18"/>
  <c r="P75" i="18" s="1"/>
  <c r="I73" i="18"/>
  <c r="P73" i="18" s="1"/>
  <c r="I233" i="18"/>
  <c r="P233" i="18" s="1"/>
  <c r="I149" i="18"/>
  <c r="P149" i="18" s="1"/>
  <c r="I90" i="18"/>
  <c r="P90" i="18" s="1"/>
  <c r="I21" i="18"/>
  <c r="P21" i="18" s="1"/>
  <c r="I87" i="18"/>
  <c r="P87" i="18" s="1"/>
  <c r="I150" i="18"/>
  <c r="P150" i="18" s="1"/>
  <c r="I49" i="18"/>
  <c r="P49" i="18" s="1"/>
  <c r="I276" i="18"/>
  <c r="P276" i="18" s="1"/>
  <c r="I195" i="18"/>
  <c r="P195" i="18" s="1"/>
  <c r="I25" i="18"/>
  <c r="P25" i="18" s="1"/>
  <c r="I79" i="18"/>
  <c r="P79" i="18" s="1"/>
  <c r="I19" i="18"/>
  <c r="P19" i="18" s="1"/>
  <c r="I33" i="18"/>
  <c r="P33" i="18" s="1"/>
  <c r="I187" i="18"/>
  <c r="P187" i="18" s="1"/>
  <c r="I172" i="18"/>
  <c r="P172" i="18" s="1"/>
  <c r="I128" i="18"/>
  <c r="P128" i="18" s="1"/>
  <c r="I78" i="18"/>
  <c r="P78" i="18" s="1"/>
  <c r="I9" i="18"/>
  <c r="P9" i="18" s="1"/>
  <c r="I136" i="18"/>
  <c r="P136" i="18" s="1"/>
  <c r="I145" i="18"/>
  <c r="P145" i="18" s="1"/>
  <c r="I273" i="18"/>
  <c r="P273" i="18" s="1"/>
  <c r="I113" i="18"/>
  <c r="P113" i="18" s="1"/>
  <c r="I74" i="18"/>
  <c r="P74" i="18" s="1"/>
  <c r="I13" i="18"/>
  <c r="P13" i="18" s="1"/>
  <c r="I135" i="18"/>
  <c r="P135" i="18" s="1"/>
  <c r="I142" i="18"/>
  <c r="P142" i="18" s="1"/>
  <c r="I26" i="18"/>
  <c r="P26" i="18" s="1"/>
  <c r="I194" i="18"/>
  <c r="P194" i="18" s="1"/>
  <c r="I22" i="18"/>
  <c r="I116" i="18"/>
  <c r="P116" i="18" s="1"/>
  <c r="I111" i="18"/>
  <c r="P111" i="18" s="1"/>
  <c r="I238" i="18"/>
  <c r="P238" i="18" s="1"/>
  <c r="I264" i="18"/>
  <c r="P264" i="18" s="1"/>
  <c r="I212" i="18"/>
  <c r="P212" i="18" s="1"/>
  <c r="I98" i="18"/>
  <c r="P98" i="18" s="1"/>
  <c r="I131" i="18"/>
  <c r="P131" i="18" s="1"/>
  <c r="I50" i="18"/>
  <c r="P50" i="18" s="1"/>
  <c r="I250" i="18"/>
  <c r="P250" i="18" s="1"/>
  <c r="I123" i="18"/>
  <c r="P123" i="18" s="1"/>
  <c r="I96" i="18"/>
  <c r="P96" i="18" s="1"/>
  <c r="I214" i="18"/>
  <c r="P214" i="18" s="1"/>
  <c r="I32" i="18"/>
  <c r="P32" i="18" s="1"/>
  <c r="I257" i="18"/>
  <c r="P257" i="18" s="1"/>
  <c r="I271" i="18"/>
  <c r="P271" i="18" s="1"/>
  <c r="I184" i="18"/>
  <c r="P184" i="18" s="1"/>
  <c r="I286" i="18"/>
  <c r="P286" i="18" s="1"/>
  <c r="I227" i="18"/>
  <c r="P227" i="18" s="1"/>
  <c r="I93" i="18"/>
  <c r="P93" i="18" s="1"/>
  <c r="I60" i="18"/>
  <c r="P60" i="18" s="1"/>
  <c r="I269" i="18"/>
  <c r="P269" i="18" s="1"/>
  <c r="I229" i="18"/>
  <c r="P229" i="18" s="1"/>
  <c r="I211" i="18"/>
  <c r="P211" i="18" s="1"/>
  <c r="I132" i="18"/>
  <c r="P132" i="18" s="1"/>
  <c r="I160" i="18"/>
  <c r="P160" i="18" s="1"/>
  <c r="I253" i="18"/>
  <c r="P253" i="18" s="1"/>
  <c r="I35" i="18"/>
  <c r="P35" i="18" s="1"/>
  <c r="I297" i="18"/>
  <c r="P297" i="18" s="1"/>
  <c r="I259" i="18"/>
  <c r="P259" i="18" s="1"/>
  <c r="I170" i="18"/>
  <c r="P170" i="18" s="1"/>
  <c r="I122" i="18"/>
  <c r="P122" i="18" s="1"/>
  <c r="I270" i="18"/>
  <c r="P270" i="18" s="1"/>
  <c r="I179" i="18"/>
  <c r="P179" i="18" s="1"/>
  <c r="I48" i="18"/>
  <c r="P48" i="18" s="1"/>
  <c r="I126" i="18"/>
  <c r="P126" i="18" s="1"/>
  <c r="I247" i="18"/>
  <c r="P247" i="18" s="1"/>
  <c r="I265" i="18"/>
  <c r="P265" i="18" s="1"/>
  <c r="I16" i="18"/>
  <c r="P16" i="18" s="1"/>
  <c r="I244" i="18"/>
  <c r="P244" i="18" s="1"/>
  <c r="I101" i="18"/>
  <c r="P101" i="18" s="1"/>
  <c r="I177" i="18"/>
  <c r="P177" i="18" s="1"/>
  <c r="I148" i="18"/>
  <c r="P148" i="18" s="1"/>
  <c r="I52" i="18"/>
  <c r="P52" i="18" s="1"/>
  <c r="I243" i="18"/>
  <c r="P243" i="18" s="1"/>
  <c r="I263" i="18"/>
  <c r="P263" i="18" s="1"/>
  <c r="I61" i="18"/>
  <c r="P61" i="18" s="1"/>
  <c r="I23" i="18"/>
  <c r="P23" i="18" s="1"/>
  <c r="I15" i="18"/>
  <c r="P15" i="18" s="1"/>
  <c r="I143" i="18"/>
  <c r="P143" i="18" s="1"/>
  <c r="I173" i="18"/>
  <c r="P173" i="18" s="1"/>
  <c r="I77" i="18"/>
  <c r="P77" i="18" s="1"/>
  <c r="I34" i="18"/>
  <c r="P34" i="18" s="1"/>
  <c r="I249" i="18"/>
  <c r="P249" i="18" s="1"/>
  <c r="I258" i="18"/>
  <c r="P258" i="18" s="1"/>
  <c r="I85" i="18"/>
  <c r="P85" i="18" s="1"/>
  <c r="I251" i="18"/>
  <c r="P251" i="18" s="1"/>
  <c r="I193" i="18"/>
  <c r="P193" i="18" s="1"/>
  <c r="I268" i="18"/>
  <c r="P268" i="18" s="1"/>
  <c r="I242" i="18"/>
  <c r="P242" i="18" s="1"/>
  <c r="I166" i="18"/>
  <c r="P166" i="18" s="1"/>
  <c r="I209" i="18"/>
  <c r="P209" i="18" s="1"/>
  <c r="I197" i="18"/>
  <c r="P197" i="18" s="1"/>
  <c r="I107" i="18"/>
  <c r="P107" i="18" s="1"/>
  <c r="I210" i="18"/>
  <c r="P210" i="18" s="1"/>
  <c r="I80" i="18"/>
  <c r="P80" i="18" s="1"/>
  <c r="I294" i="18"/>
  <c r="P294" i="18" s="1"/>
  <c r="I134" i="18"/>
  <c r="P134" i="18" s="1"/>
  <c r="I154" i="18"/>
  <c r="P154" i="18" s="1"/>
  <c r="I274" i="18"/>
  <c r="I255" i="18"/>
  <c r="I252" i="18"/>
  <c r="P252" i="18" s="1"/>
  <c r="I45" i="18"/>
  <c r="P45" i="18" s="1"/>
  <c r="I284" i="18"/>
  <c r="I162" i="18"/>
  <c r="P162" i="18" s="1"/>
  <c r="I301" i="18"/>
  <c r="P301" i="18" s="1"/>
  <c r="I18" i="18"/>
  <c r="P18" i="18" s="1"/>
  <c r="I86" i="18"/>
  <c r="P86" i="18" s="1"/>
  <c r="I102" i="18"/>
  <c r="P102" i="18" s="1"/>
  <c r="I64" i="18"/>
  <c r="P64" i="18" s="1"/>
  <c r="I260" i="18"/>
  <c r="P260" i="18" s="1"/>
  <c r="I139" i="18"/>
  <c r="P139" i="18" s="1"/>
  <c r="I39" i="18"/>
  <c r="P39" i="18" s="1"/>
  <c r="I261" i="18"/>
  <c r="P261" i="18" s="1"/>
  <c r="I106" i="18"/>
  <c r="P106" i="18" s="1"/>
  <c r="I183" i="18"/>
  <c r="P183" i="18" s="1"/>
  <c r="I20" i="18"/>
  <c r="P20" i="18" s="1"/>
  <c r="I283" i="18"/>
  <c r="P283" i="18" s="1"/>
  <c r="I291" i="18"/>
  <c r="P291" i="18" s="1"/>
  <c r="I84" i="18"/>
  <c r="P84" i="18" s="1"/>
  <c r="I228" i="18"/>
  <c r="P228" i="18" s="1"/>
  <c r="I42" i="18"/>
  <c r="P42" i="18" s="1"/>
  <c r="P274" i="18" l="1"/>
  <c r="P303" i="18"/>
  <c r="P284" i="18"/>
  <c r="P22" i="18"/>
  <c r="P226" i="18"/>
  <c r="P255" i="18"/>
  <c r="P199" i="18"/>
  <c r="P121" i="18"/>
  <c r="P188" i="18"/>
  <c r="P295" i="18"/>
  <c r="P236" i="18"/>
  <c r="E33" i="22"/>
  <c r="AO33" i="22" s="1"/>
  <c r="P31" i="18"/>
  <c r="E206" i="22"/>
  <c r="AO206" i="22" s="1"/>
  <c r="P204" i="18"/>
  <c r="D166" i="22"/>
  <c r="AN166" i="22" s="1"/>
  <c r="P164" i="18"/>
  <c r="C209" i="22"/>
  <c r="AM209" i="22" s="1"/>
  <c r="P203" i="18"/>
  <c r="C58" i="22"/>
  <c r="AM58" i="22" s="1"/>
  <c r="P56" i="18"/>
  <c r="F223" i="22"/>
  <c r="AP223" i="22" s="1"/>
  <c r="T225" i="10" s="1"/>
  <c r="P220" i="18"/>
  <c r="G223" i="22" s="1"/>
  <c r="AQ223" i="22" s="1"/>
  <c r="U225" i="10" s="1"/>
  <c r="F222" i="22"/>
  <c r="AP222" i="22" s="1"/>
  <c r="P219" i="18"/>
  <c r="C97" i="22"/>
  <c r="AM97" i="22" s="1"/>
  <c r="P95" i="18"/>
  <c r="C244" i="22"/>
  <c r="AM244" i="22" s="1"/>
  <c r="P241" i="18"/>
  <c r="D220" i="22"/>
  <c r="AN220" i="22" s="1"/>
  <c r="P217" i="18"/>
  <c r="F67" i="22"/>
  <c r="AP67" i="22" s="1"/>
  <c r="P65" i="18"/>
  <c r="E278" i="22"/>
  <c r="AO278" i="22" s="1"/>
  <c r="P275" i="18"/>
  <c r="E302" i="22"/>
  <c r="AO302" i="22" s="1"/>
  <c r="P299" i="18"/>
  <c r="P59" i="18"/>
  <c r="AQ192" i="22"/>
  <c r="U195" i="10" s="1"/>
  <c r="AF192" i="22"/>
  <c r="AG192" i="22"/>
  <c r="H324" i="9"/>
  <c r="W324" i="10" s="1"/>
  <c r="X324" i="10" s="1"/>
  <c r="AI322" i="22"/>
  <c r="AJ322" i="22" s="1"/>
  <c r="D13" i="22"/>
  <c r="AN13" i="22" s="1"/>
  <c r="C13" i="22"/>
  <c r="AM13" i="22" s="1"/>
  <c r="Q309" i="18"/>
  <c r="G312" i="22"/>
  <c r="AQ312" i="22" s="1"/>
  <c r="U314" i="10" s="1"/>
  <c r="D237" i="22"/>
  <c r="AN237" i="22" s="1"/>
  <c r="C237" i="22"/>
  <c r="AM237" i="22" s="1"/>
  <c r="Q305" i="18"/>
  <c r="G307" i="22"/>
  <c r="AQ307" i="22" s="1"/>
  <c r="U310" i="10" s="1"/>
  <c r="C220" i="22"/>
  <c r="AM220" i="22" s="1"/>
  <c r="E220" i="22"/>
  <c r="AO220" i="22" s="1"/>
  <c r="F220" i="22"/>
  <c r="AP220" i="22" s="1"/>
  <c r="T222" i="10" s="1"/>
  <c r="E223" i="22"/>
  <c r="AO223" i="22" s="1"/>
  <c r="F206" i="22"/>
  <c r="AP206" i="22" s="1"/>
  <c r="D223" i="22"/>
  <c r="AN223" i="22" s="1"/>
  <c r="C223" i="22"/>
  <c r="AM223" i="22" s="1"/>
  <c r="C206" i="22"/>
  <c r="AM206" i="22" s="1"/>
  <c r="D206" i="22"/>
  <c r="AN206" i="22" s="1"/>
  <c r="F33" i="22"/>
  <c r="AP33" i="22" s="1"/>
  <c r="T36" i="10" s="1"/>
  <c r="C33" i="22"/>
  <c r="AM33" i="22" s="1"/>
  <c r="D33" i="22"/>
  <c r="AN33" i="22" s="1"/>
  <c r="F209" i="22"/>
  <c r="AP209" i="22" s="1"/>
  <c r="F278" i="22"/>
  <c r="AP278" i="22" s="1"/>
  <c r="F244" i="22"/>
  <c r="AP244" i="22" s="1"/>
  <c r="E244" i="22"/>
  <c r="AO244" i="22" s="1"/>
  <c r="F61" i="22"/>
  <c r="AP61" i="22" s="1"/>
  <c r="C278" i="22"/>
  <c r="AM278" i="22" s="1"/>
  <c r="D61" i="22"/>
  <c r="AN61" i="22" s="1"/>
  <c r="D278" i="22"/>
  <c r="AN278" i="22" s="1"/>
  <c r="F302" i="22"/>
  <c r="AP302" i="22" s="1"/>
  <c r="D97" i="22"/>
  <c r="AN97" i="22" s="1"/>
  <c r="E209" i="22"/>
  <c r="AO209" i="22" s="1"/>
  <c r="D209" i="22"/>
  <c r="AN209" i="22" s="1"/>
  <c r="C67" i="22"/>
  <c r="AM67" i="22" s="1"/>
  <c r="F58" i="22"/>
  <c r="AP58" i="22" s="1"/>
  <c r="E58" i="22"/>
  <c r="AO58" i="22" s="1"/>
  <c r="D58" i="22"/>
  <c r="AN58" i="22" s="1"/>
  <c r="C61" i="22"/>
  <c r="AM61" i="22" s="1"/>
  <c r="E222" i="22"/>
  <c r="AO222" i="22" s="1"/>
  <c r="C166" i="22"/>
  <c r="AM166" i="22" s="1"/>
  <c r="R317" i="10"/>
  <c r="D67" i="22"/>
  <c r="AN67" i="22" s="1"/>
  <c r="E67" i="22"/>
  <c r="AO67" i="22" s="1"/>
  <c r="F166" i="22"/>
  <c r="AP166" i="22" s="1"/>
  <c r="E166" i="22"/>
  <c r="AO166" i="22" s="1"/>
  <c r="D302" i="22"/>
  <c r="AN302" i="22" s="1"/>
  <c r="E97" i="22"/>
  <c r="AO97" i="22" s="1"/>
  <c r="F97" i="22"/>
  <c r="AP97" i="22" s="1"/>
  <c r="G122" i="22"/>
  <c r="AQ122" i="22" s="1"/>
  <c r="U125" i="10" s="1"/>
  <c r="G32" i="22"/>
  <c r="G10" i="22"/>
  <c r="C258" i="22"/>
  <c r="AM258" i="22" s="1"/>
  <c r="D258" i="22"/>
  <c r="AN258" i="22" s="1"/>
  <c r="E258" i="22"/>
  <c r="AO258" i="22" s="1"/>
  <c r="F258" i="22"/>
  <c r="AP258" i="22" s="1"/>
  <c r="D87" i="22"/>
  <c r="AN87" i="22" s="1"/>
  <c r="C87" i="22"/>
  <c r="AM87" i="22" s="1"/>
  <c r="E87" i="22"/>
  <c r="AO87" i="22" s="1"/>
  <c r="F87" i="22"/>
  <c r="AP87" i="22" s="1"/>
  <c r="D138" i="22"/>
  <c r="AN138" i="22" s="1"/>
  <c r="F138" i="22"/>
  <c r="AP138" i="22" s="1"/>
  <c r="C138" i="22"/>
  <c r="AM138" i="22" s="1"/>
  <c r="E138" i="22"/>
  <c r="AO138" i="22" s="1"/>
  <c r="D85" i="22"/>
  <c r="AN85" i="22" s="1"/>
  <c r="F85" i="22"/>
  <c r="AP85" i="22" s="1"/>
  <c r="C85" i="22"/>
  <c r="AM85" i="22" s="1"/>
  <c r="E85" i="22"/>
  <c r="AO85" i="22" s="1"/>
  <c r="C141" i="22"/>
  <c r="AM141" i="22" s="1"/>
  <c r="E141" i="22"/>
  <c r="AO141" i="22" s="1"/>
  <c r="F141" i="22"/>
  <c r="AP141" i="22" s="1"/>
  <c r="F291" i="22"/>
  <c r="AP291" i="22" s="1"/>
  <c r="E291" i="22"/>
  <c r="AO291" i="22" s="1"/>
  <c r="D291" i="22"/>
  <c r="AN291" i="22" s="1"/>
  <c r="C291" i="22"/>
  <c r="AM291" i="22" s="1"/>
  <c r="C261" i="22"/>
  <c r="AM261" i="22" s="1"/>
  <c r="F261" i="22"/>
  <c r="AP261" i="22" s="1"/>
  <c r="D261" i="22"/>
  <c r="AN261" i="22" s="1"/>
  <c r="E261" i="22"/>
  <c r="AO261" i="22" s="1"/>
  <c r="E230" i="22"/>
  <c r="AO230" i="22" s="1"/>
  <c r="F230" i="22"/>
  <c r="AP230" i="22" s="1"/>
  <c r="C230" i="22"/>
  <c r="AM230" i="22" s="1"/>
  <c r="D230" i="22"/>
  <c r="AN230" i="22" s="1"/>
  <c r="F157" i="22"/>
  <c r="AP157" i="22" s="1"/>
  <c r="E157" i="22"/>
  <c r="AO157" i="22" s="1"/>
  <c r="C157" i="22"/>
  <c r="AM157" i="22" s="1"/>
  <c r="D157" i="22"/>
  <c r="AN157" i="22" s="1"/>
  <c r="E284" i="22"/>
  <c r="AO284" i="22" s="1"/>
  <c r="D284" i="22"/>
  <c r="AN284" i="22" s="1"/>
  <c r="F284" i="22"/>
  <c r="AP284" i="22" s="1"/>
  <c r="C284" i="22"/>
  <c r="AM284" i="22" s="1"/>
  <c r="E84" i="22"/>
  <c r="AO84" i="22" s="1"/>
  <c r="D84" i="22"/>
  <c r="AN84" i="22" s="1"/>
  <c r="F84" i="22"/>
  <c r="AP84" i="22" s="1"/>
  <c r="E82" i="22"/>
  <c r="AO82" i="22" s="1"/>
  <c r="D82" i="22"/>
  <c r="AN82" i="22" s="1"/>
  <c r="F82" i="22"/>
  <c r="AP82" i="22" s="1"/>
  <c r="C82" i="22"/>
  <c r="AM82" i="22" s="1"/>
  <c r="D215" i="22"/>
  <c r="AN215" i="22" s="1"/>
  <c r="F215" i="22"/>
  <c r="AP215" i="22" s="1"/>
  <c r="E215" i="22"/>
  <c r="AO215" i="22" s="1"/>
  <c r="C221" i="22"/>
  <c r="AM221" i="22" s="1"/>
  <c r="E221" i="22"/>
  <c r="AO221" i="22" s="1"/>
  <c r="D221" i="22"/>
  <c r="AN221" i="22" s="1"/>
  <c r="F221" i="22"/>
  <c r="AP221" i="22" s="1"/>
  <c r="C306" i="22"/>
  <c r="AM306" i="22" s="1"/>
  <c r="E306" i="22"/>
  <c r="AO306" i="22" s="1"/>
  <c r="D306" i="22"/>
  <c r="AN306" i="22" s="1"/>
  <c r="F306" i="22"/>
  <c r="AP306" i="22" s="1"/>
  <c r="F20" i="22"/>
  <c r="AP20" i="22" s="1"/>
  <c r="C20" i="22"/>
  <c r="AM20" i="22" s="1"/>
  <c r="D20" i="22"/>
  <c r="AN20" i="22" s="1"/>
  <c r="E20" i="22"/>
  <c r="AO20" i="22" s="1"/>
  <c r="C103" i="22"/>
  <c r="AM103" i="22" s="1"/>
  <c r="D103" i="22"/>
  <c r="AN103" i="22" s="1"/>
  <c r="E103" i="22"/>
  <c r="AO103" i="22" s="1"/>
  <c r="F103" i="22"/>
  <c r="AP103" i="22" s="1"/>
  <c r="C185" i="22"/>
  <c r="AM185" i="22" s="1"/>
  <c r="D185" i="22"/>
  <c r="AN185" i="22" s="1"/>
  <c r="E185" i="22"/>
  <c r="AO185" i="22" s="1"/>
  <c r="F185" i="22"/>
  <c r="AP185" i="22" s="1"/>
  <c r="E212" i="22"/>
  <c r="AO212" i="22" s="1"/>
  <c r="F212" i="22"/>
  <c r="AP212" i="22" s="1"/>
  <c r="C212" i="22"/>
  <c r="AM212" i="22" s="1"/>
  <c r="D212" i="22"/>
  <c r="AN212" i="22" s="1"/>
  <c r="E146" i="22"/>
  <c r="AO146" i="22" s="1"/>
  <c r="C146" i="22"/>
  <c r="AM146" i="22" s="1"/>
  <c r="D146" i="22"/>
  <c r="AN146" i="22" s="1"/>
  <c r="F146" i="22"/>
  <c r="AP146" i="22" s="1"/>
  <c r="C162" i="22"/>
  <c r="AM162" i="22" s="1"/>
  <c r="D162" i="22"/>
  <c r="AN162" i="22" s="1"/>
  <c r="E162" i="22"/>
  <c r="AO162" i="22" s="1"/>
  <c r="F162" i="22"/>
  <c r="AP162" i="22" s="1"/>
  <c r="F34" i="22"/>
  <c r="AP34" i="22" s="1"/>
  <c r="E34" i="22"/>
  <c r="AO34" i="22" s="1"/>
  <c r="C12" i="22"/>
  <c r="AM12" i="22" s="1"/>
  <c r="D12" i="22"/>
  <c r="AN12" i="22" s="1"/>
  <c r="E12" i="22"/>
  <c r="AO12" i="22" s="1"/>
  <c r="F12" i="22"/>
  <c r="AP12" i="22" s="1"/>
  <c r="D153" i="22"/>
  <c r="AN153" i="22" s="1"/>
  <c r="E153" i="22"/>
  <c r="AO153" i="22" s="1"/>
  <c r="C153" i="22"/>
  <c r="AM153" i="22" s="1"/>
  <c r="F153" i="22"/>
  <c r="AP153" i="22" s="1"/>
  <c r="F144" i="22"/>
  <c r="AP144" i="22" s="1"/>
  <c r="C144" i="22"/>
  <c r="AM144" i="22" s="1"/>
  <c r="E144" i="22"/>
  <c r="AO144" i="22" s="1"/>
  <c r="E229" i="22"/>
  <c r="AO229" i="22" s="1"/>
  <c r="F229" i="22"/>
  <c r="AP229" i="22" s="1"/>
  <c r="C229" i="22"/>
  <c r="AM229" i="22" s="1"/>
  <c r="C108" i="22"/>
  <c r="AM108" i="22" s="1"/>
  <c r="D108" i="22"/>
  <c r="AN108" i="22" s="1"/>
  <c r="F108" i="22"/>
  <c r="AP108" i="22" s="1"/>
  <c r="T110" i="10" s="1"/>
  <c r="E108" i="22"/>
  <c r="AO108" i="22" s="1"/>
  <c r="C47" i="22"/>
  <c r="AM47" i="22" s="1"/>
  <c r="D47" i="22"/>
  <c r="AN47" i="22" s="1"/>
  <c r="E47" i="22"/>
  <c r="AO47" i="22" s="1"/>
  <c r="F47" i="22"/>
  <c r="AP47" i="22" s="1"/>
  <c r="F168" i="22"/>
  <c r="AP168" i="22" s="1"/>
  <c r="E168" i="22"/>
  <c r="AO168" i="22" s="1"/>
  <c r="F17" i="22"/>
  <c r="AP17" i="22" s="1"/>
  <c r="D17" i="22"/>
  <c r="AN17" i="22" s="1"/>
  <c r="E17" i="22"/>
  <c r="AO17" i="22" s="1"/>
  <c r="C17" i="22"/>
  <c r="AM17" i="22" s="1"/>
  <c r="C250" i="22"/>
  <c r="AM250" i="22" s="1"/>
  <c r="D250" i="22"/>
  <c r="AN250" i="22" s="1"/>
  <c r="E250" i="22"/>
  <c r="AO250" i="22" s="1"/>
  <c r="F250" i="22"/>
  <c r="AP250" i="22" s="1"/>
  <c r="E134" i="22"/>
  <c r="AO134" i="22" s="1"/>
  <c r="C134" i="22"/>
  <c r="AM134" i="22" s="1"/>
  <c r="D134" i="22"/>
  <c r="AN134" i="22" s="1"/>
  <c r="F134" i="22"/>
  <c r="AP134" i="22" s="1"/>
  <c r="C217" i="22"/>
  <c r="AM217" i="22" s="1"/>
  <c r="D217" i="22"/>
  <c r="AN217" i="22" s="1"/>
  <c r="E217" i="22"/>
  <c r="AO217" i="22" s="1"/>
  <c r="F217" i="22"/>
  <c r="AP217" i="22" s="1"/>
  <c r="D24" i="22"/>
  <c r="AN24" i="22" s="1"/>
  <c r="F24" i="22"/>
  <c r="AP24" i="22" s="1"/>
  <c r="E24" i="22"/>
  <c r="AO24" i="22" s="1"/>
  <c r="C24" i="22"/>
  <c r="AM24" i="22" s="1"/>
  <c r="D80" i="22"/>
  <c r="AN80" i="22" s="1"/>
  <c r="E80" i="22"/>
  <c r="AO80" i="22" s="1"/>
  <c r="F80" i="22"/>
  <c r="AP80" i="22" s="1"/>
  <c r="C80" i="22"/>
  <c r="AM80" i="22" s="1"/>
  <c r="E89" i="22"/>
  <c r="AO89" i="22" s="1"/>
  <c r="D89" i="22"/>
  <c r="AN89" i="22" s="1"/>
  <c r="F89" i="22"/>
  <c r="AP89" i="22" s="1"/>
  <c r="C89" i="22"/>
  <c r="AM89" i="22" s="1"/>
  <c r="C126" i="22"/>
  <c r="AM126" i="22" s="1"/>
  <c r="F126" i="22"/>
  <c r="AP126" i="22" s="1"/>
  <c r="E126" i="22"/>
  <c r="AO126" i="22" s="1"/>
  <c r="D126" i="22"/>
  <c r="AN126" i="22" s="1"/>
  <c r="C165" i="22"/>
  <c r="AM165" i="22" s="1"/>
  <c r="E165" i="22"/>
  <c r="AO165" i="22" s="1"/>
  <c r="D165" i="22"/>
  <c r="AN165" i="22" s="1"/>
  <c r="F165" i="22"/>
  <c r="AP165" i="22" s="1"/>
  <c r="C119" i="22"/>
  <c r="AM119" i="22" s="1"/>
  <c r="D119" i="22"/>
  <c r="AN119" i="22" s="1"/>
  <c r="E119" i="22"/>
  <c r="AO119" i="22" s="1"/>
  <c r="F119" i="22"/>
  <c r="AP119" i="22" s="1"/>
  <c r="E26" i="22"/>
  <c r="AO26" i="22" s="1"/>
  <c r="D26" i="22"/>
  <c r="AN26" i="22" s="1"/>
  <c r="F26" i="22"/>
  <c r="AP26" i="22" s="1"/>
  <c r="C26" i="22"/>
  <c r="AM26" i="22" s="1"/>
  <c r="E48" i="22"/>
  <c r="AO48" i="22" s="1"/>
  <c r="D48" i="22"/>
  <c r="AN48" i="22" s="1"/>
  <c r="C48" i="22"/>
  <c r="AM48" i="22" s="1"/>
  <c r="F48" i="22"/>
  <c r="AP48" i="22" s="1"/>
  <c r="C259" i="22"/>
  <c r="AM259" i="22" s="1"/>
  <c r="F259" i="22"/>
  <c r="AP259" i="22" s="1"/>
  <c r="D259" i="22"/>
  <c r="AN259" i="22" s="1"/>
  <c r="E259" i="22"/>
  <c r="AO259" i="22" s="1"/>
  <c r="C249" i="22"/>
  <c r="AM249" i="22" s="1"/>
  <c r="Q251" i="10" s="1"/>
  <c r="C251" i="10" s="1"/>
  <c r="F249" i="22"/>
  <c r="AP249" i="22" s="1"/>
  <c r="T251" i="10" s="1"/>
  <c r="F251" i="10" s="1"/>
  <c r="E249" i="22"/>
  <c r="AO249" i="22" s="1"/>
  <c r="S251" i="10" s="1"/>
  <c r="E251" i="10" s="1"/>
  <c r="E283" i="22"/>
  <c r="AO283" i="22" s="1"/>
  <c r="F283" i="22"/>
  <c r="AP283" i="22" s="1"/>
  <c r="D283" i="22"/>
  <c r="AN283" i="22" s="1"/>
  <c r="C283" i="22"/>
  <c r="AM283" i="22" s="1"/>
  <c r="F29" i="22"/>
  <c r="AP29" i="22" s="1"/>
  <c r="C29" i="22"/>
  <c r="AM29" i="22" s="1"/>
  <c r="E29" i="22"/>
  <c r="AO29" i="22" s="1"/>
  <c r="D29" i="22"/>
  <c r="AN29" i="22" s="1"/>
  <c r="F183" i="22"/>
  <c r="AP183" i="22" s="1"/>
  <c r="C183" i="22"/>
  <c r="AM183" i="22" s="1"/>
  <c r="D183" i="22"/>
  <c r="AN183" i="22" s="1"/>
  <c r="E183" i="22"/>
  <c r="AO183" i="22" s="1"/>
  <c r="E160" i="22"/>
  <c r="AO160" i="22" s="1"/>
  <c r="F160" i="22"/>
  <c r="AP160" i="22" s="1"/>
  <c r="C160" i="22"/>
  <c r="AM160" i="22" s="1"/>
  <c r="C205" i="22"/>
  <c r="AM205" i="22" s="1"/>
  <c r="D205" i="22"/>
  <c r="AN205" i="22" s="1"/>
  <c r="F205" i="22"/>
  <c r="AP205" i="22" s="1"/>
  <c r="E205" i="22"/>
  <c r="AO205" i="22" s="1"/>
  <c r="F131" i="22"/>
  <c r="AP131" i="22" s="1"/>
  <c r="C131" i="22"/>
  <c r="AM131" i="22" s="1"/>
  <c r="D131" i="22"/>
  <c r="AN131" i="22" s="1"/>
  <c r="E131" i="22"/>
  <c r="AO131" i="22" s="1"/>
  <c r="E264" i="22"/>
  <c r="AO264" i="22" s="1"/>
  <c r="S266" i="10" s="1"/>
  <c r="E266" i="10" s="1"/>
  <c r="D264" i="22"/>
  <c r="AN264" i="22" s="1"/>
  <c r="R266" i="10" s="1"/>
  <c r="D266" i="10" s="1"/>
  <c r="F264" i="22"/>
  <c r="AP264" i="22" s="1"/>
  <c r="T266" i="10" s="1"/>
  <c r="F266" i="10" s="1"/>
  <c r="C264" i="22"/>
  <c r="AM264" i="22" s="1"/>
  <c r="Q266" i="10" s="1"/>
  <c r="C266" i="10" s="1"/>
  <c r="C25" i="22"/>
  <c r="AM25" i="22" s="1"/>
  <c r="D25" i="22"/>
  <c r="AN25" i="22" s="1"/>
  <c r="E25" i="22"/>
  <c r="AO25" i="22" s="1"/>
  <c r="F25" i="22"/>
  <c r="AP25" i="22" s="1"/>
  <c r="D214" i="22"/>
  <c r="AN214" i="22" s="1"/>
  <c r="E214" i="22"/>
  <c r="AO214" i="22" s="1"/>
  <c r="C214" i="22"/>
  <c r="AM214" i="22" s="1"/>
  <c r="F214" i="22"/>
  <c r="AP214" i="22" s="1"/>
  <c r="F23" i="22"/>
  <c r="AP23" i="22" s="1"/>
  <c r="E23" i="22"/>
  <c r="AO23" i="22" s="1"/>
  <c r="C23" i="22"/>
  <c r="AM23" i="22" s="1"/>
  <c r="D23" i="22"/>
  <c r="AN23" i="22" s="1"/>
  <c r="E173" i="22"/>
  <c r="AO173" i="22" s="1"/>
  <c r="F173" i="22"/>
  <c r="AP173" i="22" s="1"/>
  <c r="D173" i="22"/>
  <c r="AN173" i="22" s="1"/>
  <c r="C63" i="22"/>
  <c r="AM63" i="22" s="1"/>
  <c r="E63" i="22"/>
  <c r="AO63" i="22" s="1"/>
  <c r="F63" i="22"/>
  <c r="AP63" i="22" s="1"/>
  <c r="D63" i="22"/>
  <c r="AN63" i="22" s="1"/>
  <c r="D28" i="22"/>
  <c r="AN28" i="22" s="1"/>
  <c r="E28" i="22"/>
  <c r="AO28" i="22" s="1"/>
  <c r="C28" i="22"/>
  <c r="AM28" i="22" s="1"/>
  <c r="F28" i="22"/>
  <c r="AP28" i="22" s="1"/>
  <c r="C94" i="22"/>
  <c r="AM94" i="22" s="1"/>
  <c r="D94" i="22"/>
  <c r="AN94" i="22" s="1"/>
  <c r="E94" i="22"/>
  <c r="AO94" i="22" s="1"/>
  <c r="F94" i="22"/>
  <c r="AP94" i="22" s="1"/>
  <c r="C233" i="22"/>
  <c r="AM233" i="22" s="1"/>
  <c r="D233" i="22"/>
  <c r="AN233" i="22" s="1"/>
  <c r="E233" i="22"/>
  <c r="AO233" i="22" s="1"/>
  <c r="F233" i="22"/>
  <c r="AP233" i="22" s="1"/>
  <c r="F93" i="22"/>
  <c r="AP93" i="22" s="1"/>
  <c r="C93" i="22"/>
  <c r="AM93" i="22" s="1"/>
  <c r="D93" i="22"/>
  <c r="AN93" i="22" s="1"/>
  <c r="E93" i="22"/>
  <c r="AO93" i="22" s="1"/>
  <c r="G313" i="22"/>
  <c r="AQ313" i="22" s="1"/>
  <c r="U315" i="10" s="1"/>
  <c r="D231" i="22"/>
  <c r="AN231" i="22" s="1"/>
  <c r="C231" i="22"/>
  <c r="AM231" i="22" s="1"/>
  <c r="E231" i="22"/>
  <c r="AO231" i="22" s="1"/>
  <c r="F231" i="22"/>
  <c r="AP231" i="22" s="1"/>
  <c r="D142" i="22"/>
  <c r="AN142" i="22" s="1"/>
  <c r="E142" i="22"/>
  <c r="AO142" i="22" s="1"/>
  <c r="F142" i="22"/>
  <c r="AP142" i="22" s="1"/>
  <c r="C142" i="22"/>
  <c r="AM142" i="22" s="1"/>
  <c r="D277" i="22"/>
  <c r="AN277" i="22" s="1"/>
  <c r="F277" i="22"/>
  <c r="AP277" i="22" s="1"/>
  <c r="C277" i="22"/>
  <c r="AM277" i="22" s="1"/>
  <c r="E277" i="22"/>
  <c r="AO277" i="22" s="1"/>
  <c r="F195" i="22"/>
  <c r="AP195" i="22" s="1"/>
  <c r="E195" i="22"/>
  <c r="AO195" i="22" s="1"/>
  <c r="C195" i="22"/>
  <c r="AM195" i="22" s="1"/>
  <c r="D195" i="22"/>
  <c r="AN195" i="22" s="1"/>
  <c r="E266" i="22"/>
  <c r="AO266" i="22" s="1"/>
  <c r="F266" i="22"/>
  <c r="AP266" i="22" s="1"/>
  <c r="C266" i="22"/>
  <c r="AM266" i="22" s="1"/>
  <c r="D266" i="22"/>
  <c r="AN266" i="22" s="1"/>
  <c r="D181" i="22"/>
  <c r="AN181" i="22" s="1"/>
  <c r="F181" i="22"/>
  <c r="AP181" i="22" s="1"/>
  <c r="C181" i="22"/>
  <c r="AM181" i="22" s="1"/>
  <c r="E181" i="22"/>
  <c r="AO181" i="22" s="1"/>
  <c r="F272" i="22"/>
  <c r="AP272" i="22" s="1"/>
  <c r="E272" i="22"/>
  <c r="AO272" i="22" s="1"/>
  <c r="C272" i="22"/>
  <c r="AM272" i="22" s="1"/>
  <c r="D272" i="22"/>
  <c r="AN272" i="22" s="1"/>
  <c r="F253" i="22"/>
  <c r="AP253" i="22" s="1"/>
  <c r="C253" i="22"/>
  <c r="AM253" i="22" s="1"/>
  <c r="E253" i="22"/>
  <c r="AO253" i="22" s="1"/>
  <c r="D253" i="22"/>
  <c r="AN253" i="22" s="1"/>
  <c r="C145" i="22"/>
  <c r="AM145" i="22" s="1"/>
  <c r="D145" i="22"/>
  <c r="AN145" i="22" s="1"/>
  <c r="E145" i="22"/>
  <c r="AO145" i="22" s="1"/>
  <c r="F145" i="22"/>
  <c r="AP145" i="22" s="1"/>
  <c r="E189" i="22"/>
  <c r="AO189" i="22" s="1"/>
  <c r="C189" i="22"/>
  <c r="AM189" i="22" s="1"/>
  <c r="F189" i="22"/>
  <c r="AP189" i="22" s="1"/>
  <c r="C152" i="22"/>
  <c r="AM152" i="22" s="1"/>
  <c r="D152" i="22"/>
  <c r="AN152" i="22" s="1"/>
  <c r="E152" i="22"/>
  <c r="AO152" i="22" s="1"/>
  <c r="F152" i="22"/>
  <c r="AP152" i="22" s="1"/>
  <c r="D170" i="22"/>
  <c r="AN170" i="22" s="1"/>
  <c r="C170" i="22"/>
  <c r="AM170" i="22" s="1"/>
  <c r="F170" i="22"/>
  <c r="AP170" i="22" s="1"/>
  <c r="E170" i="22"/>
  <c r="AO170" i="22" s="1"/>
  <c r="F57" i="22"/>
  <c r="AP57" i="22" s="1"/>
  <c r="C57" i="22"/>
  <c r="AM57" i="22" s="1"/>
  <c r="D57" i="22"/>
  <c r="AN57" i="22" s="1"/>
  <c r="E57" i="22"/>
  <c r="AO57" i="22" s="1"/>
  <c r="C191" i="22"/>
  <c r="AM191" i="22" s="1"/>
  <c r="E191" i="22"/>
  <c r="AO191" i="22" s="1"/>
  <c r="F191" i="22"/>
  <c r="AP191" i="22" s="1"/>
  <c r="D191" i="22"/>
  <c r="AN191" i="22" s="1"/>
  <c r="F59" i="22"/>
  <c r="AP59" i="22" s="1"/>
  <c r="E59" i="22"/>
  <c r="AO59" i="22" s="1"/>
  <c r="C59" i="22"/>
  <c r="AM59" i="22" s="1"/>
  <c r="D59" i="22"/>
  <c r="AN59" i="22" s="1"/>
  <c r="F219" i="22"/>
  <c r="AP219" i="22" s="1"/>
  <c r="E219" i="22"/>
  <c r="AO219" i="22" s="1"/>
  <c r="C219" i="22"/>
  <c r="AM219" i="22" s="1"/>
  <c r="D219" i="22"/>
  <c r="AN219" i="22" s="1"/>
  <c r="E46" i="22"/>
  <c r="AO46" i="22" s="1"/>
  <c r="C46" i="22"/>
  <c r="AM46" i="22" s="1"/>
  <c r="D46" i="22"/>
  <c r="AN46" i="22" s="1"/>
  <c r="F46" i="22"/>
  <c r="AP46" i="22" s="1"/>
  <c r="F43" i="22"/>
  <c r="AP43" i="22" s="1"/>
  <c r="D43" i="22"/>
  <c r="AN43" i="22" s="1"/>
  <c r="E43" i="22"/>
  <c r="AO43" i="22" s="1"/>
  <c r="D96" i="22"/>
  <c r="AN96" i="22" s="1"/>
  <c r="F96" i="22"/>
  <c r="AP96" i="22" s="1"/>
  <c r="C96" i="22"/>
  <c r="AM96" i="22" s="1"/>
  <c r="E96" i="22"/>
  <c r="AO96" i="22" s="1"/>
  <c r="D194" i="22"/>
  <c r="AN194" i="22" s="1"/>
  <c r="E194" i="22"/>
  <c r="AO194" i="22" s="1"/>
  <c r="F194" i="22"/>
  <c r="AP194" i="22" s="1"/>
  <c r="D14" i="22"/>
  <c r="AN14" i="22" s="1"/>
  <c r="F14" i="22"/>
  <c r="AP14" i="22" s="1"/>
  <c r="C14" i="22"/>
  <c r="AM14" i="22" s="1"/>
  <c r="E14" i="22"/>
  <c r="AO14" i="22" s="1"/>
  <c r="C39" i="22"/>
  <c r="AM39" i="22" s="1"/>
  <c r="D39" i="22"/>
  <c r="AN39" i="22" s="1"/>
  <c r="E39" i="22"/>
  <c r="AO39" i="22" s="1"/>
  <c r="F39" i="22"/>
  <c r="AP39" i="22" s="1"/>
  <c r="D159" i="22"/>
  <c r="AN159" i="22" s="1"/>
  <c r="C159" i="22"/>
  <c r="AM159" i="22" s="1"/>
  <c r="E159" i="22"/>
  <c r="AO159" i="22" s="1"/>
  <c r="F159" i="22"/>
  <c r="AP159" i="22" s="1"/>
  <c r="F68" i="22"/>
  <c r="AP68" i="22" s="1"/>
  <c r="D68" i="22"/>
  <c r="AN68" i="22" s="1"/>
  <c r="E68" i="22"/>
  <c r="AO68" i="22" s="1"/>
  <c r="D41" i="22"/>
  <c r="AN41" i="22" s="1"/>
  <c r="E41" i="22"/>
  <c r="AO41" i="22" s="1"/>
  <c r="F41" i="22"/>
  <c r="AP41" i="22" s="1"/>
  <c r="C41" i="22"/>
  <c r="AM41" i="22" s="1"/>
  <c r="D271" i="22"/>
  <c r="AN271" i="22" s="1"/>
  <c r="E271" i="22"/>
  <c r="AO271" i="22" s="1"/>
  <c r="F271" i="22"/>
  <c r="AP271" i="22" s="1"/>
  <c r="C50" i="22"/>
  <c r="AM50" i="22" s="1"/>
  <c r="F50" i="22"/>
  <c r="AP50" i="22" s="1"/>
  <c r="D50" i="22"/>
  <c r="AN50" i="22" s="1"/>
  <c r="E50" i="22"/>
  <c r="AO50" i="22" s="1"/>
  <c r="C232" i="22"/>
  <c r="AM232" i="22" s="1"/>
  <c r="D232" i="22"/>
  <c r="AN232" i="22" s="1"/>
  <c r="E232" i="22"/>
  <c r="AO232" i="22" s="1"/>
  <c r="F232" i="22"/>
  <c r="AP232" i="22" s="1"/>
  <c r="D125" i="22"/>
  <c r="AN125" i="22" s="1"/>
  <c r="E125" i="22"/>
  <c r="AO125" i="22" s="1"/>
  <c r="F125" i="22"/>
  <c r="AP125" i="22" s="1"/>
  <c r="C174" i="22"/>
  <c r="AM174" i="22" s="1"/>
  <c r="D174" i="22"/>
  <c r="AN174" i="22" s="1"/>
  <c r="F174" i="22"/>
  <c r="AP174" i="22" s="1"/>
  <c r="E174" i="22"/>
  <c r="AO174" i="22" s="1"/>
  <c r="F92" i="22"/>
  <c r="AP92" i="22" s="1"/>
  <c r="C92" i="22"/>
  <c r="AM92" i="22" s="1"/>
  <c r="D92" i="22"/>
  <c r="AN92" i="22" s="1"/>
  <c r="E92" i="22"/>
  <c r="AO92" i="22" s="1"/>
  <c r="D116" i="22"/>
  <c r="AN116" i="22" s="1"/>
  <c r="E116" i="22"/>
  <c r="AO116" i="22" s="1"/>
  <c r="C116" i="22"/>
  <c r="AM116" i="22" s="1"/>
  <c r="F116" i="22"/>
  <c r="AP116" i="22" s="1"/>
  <c r="F296" i="22"/>
  <c r="AP296" i="22" s="1"/>
  <c r="C296" i="22"/>
  <c r="AM296" i="22" s="1"/>
  <c r="E296" i="22"/>
  <c r="AO296" i="22" s="1"/>
  <c r="E303" i="22"/>
  <c r="AO303" i="22" s="1"/>
  <c r="F303" i="22"/>
  <c r="AP303" i="22" s="1"/>
  <c r="D303" i="22"/>
  <c r="AN303" i="22" s="1"/>
  <c r="D211" i="22"/>
  <c r="AN211" i="22" s="1"/>
  <c r="E211" i="22"/>
  <c r="AO211" i="22" s="1"/>
  <c r="C211" i="22"/>
  <c r="AM211" i="22" s="1"/>
  <c r="F211" i="22"/>
  <c r="AP211" i="22" s="1"/>
  <c r="F187" i="22"/>
  <c r="AP187" i="22" s="1"/>
  <c r="E187" i="22"/>
  <c r="AO187" i="22" s="1"/>
  <c r="C187" i="22"/>
  <c r="AM187" i="22" s="1"/>
  <c r="D187" i="22"/>
  <c r="AN187" i="22" s="1"/>
  <c r="D293" i="22"/>
  <c r="AN293" i="22" s="1"/>
  <c r="E293" i="22"/>
  <c r="AO293" i="22" s="1"/>
  <c r="F293" i="22"/>
  <c r="AP293" i="22" s="1"/>
  <c r="E228" i="22"/>
  <c r="AO228" i="22" s="1"/>
  <c r="F228" i="22"/>
  <c r="AP228" i="22" s="1"/>
  <c r="D228" i="22"/>
  <c r="AN228" i="22" s="1"/>
  <c r="C177" i="22"/>
  <c r="AM177" i="22" s="1"/>
  <c r="D177" i="22"/>
  <c r="AN177" i="22" s="1"/>
  <c r="E177" i="22"/>
  <c r="AO177" i="22" s="1"/>
  <c r="F177" i="22"/>
  <c r="AP177" i="22" s="1"/>
  <c r="D49" i="22"/>
  <c r="AN49" i="22" s="1"/>
  <c r="F49" i="22"/>
  <c r="AP49" i="22" s="1"/>
  <c r="C49" i="22"/>
  <c r="AM49" i="22" s="1"/>
  <c r="E49" i="22"/>
  <c r="AO49" i="22" s="1"/>
  <c r="C251" i="22"/>
  <c r="AM251" i="22" s="1"/>
  <c r="E251" i="22"/>
  <c r="AO251" i="22" s="1"/>
  <c r="F251" i="22"/>
  <c r="AP251" i="22" s="1"/>
  <c r="F263" i="22"/>
  <c r="AP263" i="22" s="1"/>
  <c r="E263" i="22"/>
  <c r="AO263" i="22" s="1"/>
  <c r="D263" i="22"/>
  <c r="AN263" i="22" s="1"/>
  <c r="C263" i="22"/>
  <c r="AM263" i="22" s="1"/>
  <c r="E156" i="22"/>
  <c r="AO156" i="22" s="1"/>
  <c r="C156" i="22"/>
  <c r="AM156" i="22" s="1"/>
  <c r="F156" i="22"/>
  <c r="AP156" i="22" s="1"/>
  <c r="D156" i="22"/>
  <c r="AN156" i="22" s="1"/>
  <c r="F254" i="22"/>
  <c r="AP254" i="22" s="1"/>
  <c r="D254" i="22"/>
  <c r="AN254" i="22" s="1"/>
  <c r="C254" i="22"/>
  <c r="AM254" i="22" s="1"/>
  <c r="E254" i="22"/>
  <c r="AO254" i="22" s="1"/>
  <c r="C246" i="22"/>
  <c r="AM246" i="22" s="1"/>
  <c r="D246" i="22"/>
  <c r="AN246" i="22" s="1"/>
  <c r="E246" i="22"/>
  <c r="AO246" i="22" s="1"/>
  <c r="F246" i="22"/>
  <c r="AP246" i="22" s="1"/>
  <c r="C273" i="22"/>
  <c r="AM273" i="22" s="1"/>
  <c r="D273" i="22"/>
  <c r="AN273" i="22" s="1"/>
  <c r="F273" i="22"/>
  <c r="AP273" i="22" s="1"/>
  <c r="E273" i="22"/>
  <c r="AO273" i="22" s="1"/>
  <c r="E62" i="22"/>
  <c r="AO62" i="22" s="1"/>
  <c r="C62" i="22"/>
  <c r="AM62" i="22" s="1"/>
  <c r="F62" i="22"/>
  <c r="AP62" i="22" s="1"/>
  <c r="C52" i="22"/>
  <c r="AM52" i="22" s="1"/>
  <c r="E52" i="22"/>
  <c r="AO52" i="22" s="1"/>
  <c r="F52" i="22"/>
  <c r="AP52" i="22" s="1"/>
  <c r="D52" i="22"/>
  <c r="AN52" i="22" s="1"/>
  <c r="C137" i="22"/>
  <c r="AM137" i="22" s="1"/>
  <c r="D137" i="22"/>
  <c r="AN137" i="22" s="1"/>
  <c r="E137" i="22"/>
  <c r="AO137" i="22" s="1"/>
  <c r="F137" i="22"/>
  <c r="AP137" i="22" s="1"/>
  <c r="E35" i="22"/>
  <c r="AO35" i="22" s="1"/>
  <c r="D35" i="22"/>
  <c r="AN35" i="22" s="1"/>
  <c r="C35" i="22"/>
  <c r="AM35" i="22" s="1"/>
  <c r="F35" i="22"/>
  <c r="AP35" i="22" s="1"/>
  <c r="E236" i="22"/>
  <c r="AO236" i="22" s="1"/>
  <c r="C236" i="22"/>
  <c r="AM236" i="22" s="1"/>
  <c r="D236" i="22"/>
  <c r="AN236" i="22" s="1"/>
  <c r="F236" i="22"/>
  <c r="AP236" i="22" s="1"/>
  <c r="C243" i="22"/>
  <c r="AM243" i="22" s="1"/>
  <c r="D243" i="22"/>
  <c r="AN243" i="22" s="1"/>
  <c r="E243" i="22"/>
  <c r="AO243" i="22" s="1"/>
  <c r="F243" i="22"/>
  <c r="AP243" i="22" s="1"/>
  <c r="D55" i="22"/>
  <c r="AN55" i="22" s="1"/>
  <c r="E55" i="22"/>
  <c r="AO55" i="22" s="1"/>
  <c r="F55" i="22"/>
  <c r="AP55" i="22" s="1"/>
  <c r="C55" i="22"/>
  <c r="AM55" i="22" s="1"/>
  <c r="D199" i="22"/>
  <c r="AN199" i="22" s="1"/>
  <c r="C199" i="22"/>
  <c r="AM199" i="22" s="1"/>
  <c r="E199" i="22"/>
  <c r="AO199" i="22" s="1"/>
  <c r="F199" i="22"/>
  <c r="AP199" i="22" s="1"/>
  <c r="D224" i="22"/>
  <c r="AN224" i="22" s="1"/>
  <c r="E224" i="22"/>
  <c r="AO224" i="22" s="1"/>
  <c r="C224" i="22"/>
  <c r="AM224" i="22" s="1"/>
  <c r="F224" i="22"/>
  <c r="AP224" i="22" s="1"/>
  <c r="C265" i="22"/>
  <c r="AM265" i="22" s="1"/>
  <c r="E265" i="22"/>
  <c r="AO265" i="22" s="1"/>
  <c r="F265" i="22"/>
  <c r="AP265" i="22" s="1"/>
  <c r="E218" i="22"/>
  <c r="AO218" i="22" s="1"/>
  <c r="F218" i="22"/>
  <c r="AP218" i="22" s="1"/>
  <c r="D218" i="22"/>
  <c r="AN218" i="22" s="1"/>
  <c r="C218" i="22"/>
  <c r="AM218" i="22" s="1"/>
  <c r="F65" i="22"/>
  <c r="AP65" i="22" s="1"/>
  <c r="C65" i="22"/>
  <c r="AM65" i="22" s="1"/>
  <c r="D65" i="22"/>
  <c r="AN65" i="22" s="1"/>
  <c r="E65" i="22"/>
  <c r="AO65" i="22" s="1"/>
  <c r="C308" i="22"/>
  <c r="AM308" i="22" s="1"/>
  <c r="D308" i="22"/>
  <c r="AN308" i="22" s="1"/>
  <c r="E308" i="22"/>
  <c r="AO308" i="22" s="1"/>
  <c r="F308" i="22"/>
  <c r="AP308" i="22" s="1"/>
  <c r="F121" i="22"/>
  <c r="AP121" i="22" s="1"/>
  <c r="E121" i="22"/>
  <c r="AO121" i="22" s="1"/>
  <c r="D121" i="22"/>
  <c r="AN121" i="22" s="1"/>
  <c r="C121" i="22"/>
  <c r="AM121" i="22" s="1"/>
  <c r="D105" i="22"/>
  <c r="AN105" i="22" s="1"/>
  <c r="E105" i="22"/>
  <c r="AO105" i="22" s="1"/>
  <c r="F105" i="22"/>
  <c r="AP105" i="22" s="1"/>
  <c r="C105" i="22"/>
  <c r="AM105" i="22" s="1"/>
  <c r="F226" i="22"/>
  <c r="AP226" i="22" s="1"/>
  <c r="C226" i="22"/>
  <c r="AM226" i="22" s="1"/>
  <c r="E226" i="22"/>
  <c r="AO226" i="22" s="1"/>
  <c r="C83" i="22"/>
  <c r="AM83" i="22" s="1"/>
  <c r="D83" i="22"/>
  <c r="AN83" i="22" s="1"/>
  <c r="E83" i="22"/>
  <c r="AO83" i="22" s="1"/>
  <c r="F83" i="22"/>
  <c r="AP83" i="22" s="1"/>
  <c r="D238" i="22"/>
  <c r="AN238" i="22" s="1"/>
  <c r="C238" i="22"/>
  <c r="AM238" i="22" s="1"/>
  <c r="E238" i="22"/>
  <c r="AO238" i="22" s="1"/>
  <c r="F238" i="22"/>
  <c r="AP238" i="22" s="1"/>
  <c r="C133" i="22"/>
  <c r="AM133" i="22" s="1"/>
  <c r="F133" i="22"/>
  <c r="AP133" i="22" s="1"/>
  <c r="E133" i="22"/>
  <c r="AO133" i="22" s="1"/>
  <c r="D285" i="22"/>
  <c r="AN285" i="22" s="1"/>
  <c r="C285" i="22"/>
  <c r="AM285" i="22" s="1"/>
  <c r="E285" i="22"/>
  <c r="AO285" i="22" s="1"/>
  <c r="F285" i="22"/>
  <c r="AP285" i="22" s="1"/>
  <c r="G188" i="22"/>
  <c r="AQ188" i="22" s="1"/>
  <c r="U191" i="10" s="1"/>
  <c r="E44" i="22"/>
  <c r="AO44" i="22" s="1"/>
  <c r="C44" i="22"/>
  <c r="AM44" i="22" s="1"/>
  <c r="F44" i="22"/>
  <c r="AP44" i="22" s="1"/>
  <c r="E245" i="22"/>
  <c r="AO245" i="22" s="1"/>
  <c r="F245" i="22"/>
  <c r="AP245" i="22" s="1"/>
  <c r="C245" i="22"/>
  <c r="AM245" i="22" s="1"/>
  <c r="D245" i="22"/>
  <c r="AN245" i="22" s="1"/>
  <c r="F128" i="22"/>
  <c r="AP128" i="22" s="1"/>
  <c r="C128" i="22"/>
  <c r="AM128" i="22" s="1"/>
  <c r="D128" i="22"/>
  <c r="AN128" i="22" s="1"/>
  <c r="E128" i="22"/>
  <c r="AO128" i="22" s="1"/>
  <c r="E98" i="22"/>
  <c r="AO98" i="22" s="1"/>
  <c r="F98" i="22"/>
  <c r="AP98" i="22" s="1"/>
  <c r="C98" i="22"/>
  <c r="AM98" i="22" s="1"/>
  <c r="D98" i="22"/>
  <c r="AN98" i="22" s="1"/>
  <c r="F197" i="22"/>
  <c r="AP197" i="22" s="1"/>
  <c r="C197" i="22"/>
  <c r="AM197" i="22" s="1"/>
  <c r="D197" i="22"/>
  <c r="AN197" i="22" s="1"/>
  <c r="E197" i="22"/>
  <c r="AO197" i="22" s="1"/>
  <c r="C130" i="22"/>
  <c r="AM130" i="22" s="1"/>
  <c r="D130" i="22"/>
  <c r="AN130" i="22" s="1"/>
  <c r="E130" i="22"/>
  <c r="AO130" i="22" s="1"/>
  <c r="F130" i="22"/>
  <c r="AP130" i="22" s="1"/>
  <c r="E120" i="22"/>
  <c r="AO120" i="22" s="1"/>
  <c r="C120" i="22"/>
  <c r="AM120" i="22" s="1"/>
  <c r="D120" i="22"/>
  <c r="AN120" i="22" s="1"/>
  <c r="F120" i="22"/>
  <c r="AP120" i="22" s="1"/>
  <c r="E311" i="22"/>
  <c r="AO311" i="22" s="1"/>
  <c r="F311" i="22"/>
  <c r="AP311" i="22" s="1"/>
  <c r="C311" i="22"/>
  <c r="AM311" i="22" s="1"/>
  <c r="D311" i="22"/>
  <c r="AN311" i="22" s="1"/>
  <c r="C184" i="22"/>
  <c r="AM184" i="22" s="1"/>
  <c r="E184" i="22"/>
  <c r="AO184" i="22" s="1"/>
  <c r="D184" i="22"/>
  <c r="AN184" i="22" s="1"/>
  <c r="F184" i="22"/>
  <c r="AP184" i="22" s="1"/>
  <c r="D19" i="22"/>
  <c r="AN19" i="22" s="1"/>
  <c r="E19" i="22"/>
  <c r="AO19" i="22" s="1"/>
  <c r="C19" i="22"/>
  <c r="AM19" i="22" s="1"/>
  <c r="F19" i="22"/>
  <c r="AP19" i="22" s="1"/>
  <c r="D69" i="22"/>
  <c r="AN69" i="22" s="1"/>
  <c r="E69" i="22"/>
  <c r="AO69" i="22" s="1"/>
  <c r="C69" i="22"/>
  <c r="AM69" i="22" s="1"/>
  <c r="F69" i="22"/>
  <c r="AP69" i="22" s="1"/>
  <c r="F257" i="22"/>
  <c r="AP257" i="22" s="1"/>
  <c r="E257" i="22"/>
  <c r="AO257" i="22" s="1"/>
  <c r="C257" i="22"/>
  <c r="AM257" i="22" s="1"/>
  <c r="D257" i="22"/>
  <c r="AN257" i="22" s="1"/>
  <c r="C301" i="22"/>
  <c r="AM301" i="22" s="1"/>
  <c r="E301" i="22"/>
  <c r="AO301" i="22" s="1"/>
  <c r="F301" i="22"/>
  <c r="AP301" i="22" s="1"/>
  <c r="D301" i="22"/>
  <c r="AN301" i="22" s="1"/>
  <c r="D290" i="22"/>
  <c r="AN290" i="22" s="1"/>
  <c r="C290" i="22"/>
  <c r="AM290" i="22" s="1"/>
  <c r="E290" i="22"/>
  <c r="AO290" i="22" s="1"/>
  <c r="F290" i="22"/>
  <c r="AP290" i="22" s="1"/>
  <c r="C208" i="22"/>
  <c r="AM208" i="22" s="1"/>
  <c r="F208" i="22"/>
  <c r="AP208" i="22" s="1"/>
  <c r="D208" i="22"/>
  <c r="AN208" i="22" s="1"/>
  <c r="E208" i="22"/>
  <c r="AO208" i="22" s="1"/>
  <c r="F234" i="22"/>
  <c r="AP234" i="22" s="1"/>
  <c r="C234" i="22"/>
  <c r="AM234" i="22" s="1"/>
  <c r="D234" i="22"/>
  <c r="AN234" i="22" s="1"/>
  <c r="E234" i="22"/>
  <c r="AO234" i="22" s="1"/>
  <c r="C158" i="22"/>
  <c r="AM158" i="22" s="1"/>
  <c r="F158" i="22"/>
  <c r="AP158" i="22" s="1"/>
  <c r="D158" i="22"/>
  <c r="AN158" i="22" s="1"/>
  <c r="E158" i="22"/>
  <c r="AO158" i="22" s="1"/>
  <c r="C86" i="22"/>
  <c r="AM86" i="22" s="1"/>
  <c r="E86" i="22"/>
  <c r="AO86" i="22" s="1"/>
  <c r="D86" i="22"/>
  <c r="AN86" i="22" s="1"/>
  <c r="F86" i="22"/>
  <c r="AP86" i="22" s="1"/>
  <c r="F54" i="22"/>
  <c r="AP54" i="22" s="1"/>
  <c r="C54" i="22"/>
  <c r="AM54" i="22" s="1"/>
  <c r="E54" i="22"/>
  <c r="AO54" i="22" s="1"/>
  <c r="D77" i="22"/>
  <c r="AN77" i="22" s="1"/>
  <c r="E77" i="22"/>
  <c r="AO77" i="22" s="1"/>
  <c r="C77" i="22"/>
  <c r="AM77" i="22" s="1"/>
  <c r="F77" i="22"/>
  <c r="AP77" i="22" s="1"/>
  <c r="G9" i="22"/>
  <c r="G13" i="22"/>
  <c r="AQ13" i="22" s="1"/>
  <c r="U15" i="10" s="1"/>
  <c r="E66" i="22"/>
  <c r="AO66" i="22" s="1"/>
  <c r="F66" i="22"/>
  <c r="AP66" i="22" s="1"/>
  <c r="C66" i="22"/>
  <c r="AM66" i="22" s="1"/>
  <c r="E75" i="22"/>
  <c r="AO75" i="22" s="1"/>
  <c r="C75" i="22"/>
  <c r="AM75" i="22" s="1"/>
  <c r="D75" i="22"/>
  <c r="AN75" i="22" s="1"/>
  <c r="F75" i="22"/>
  <c r="AP75" i="22" s="1"/>
  <c r="C282" i="22"/>
  <c r="AM282" i="22" s="1"/>
  <c r="E282" i="22"/>
  <c r="AO282" i="22" s="1"/>
  <c r="F282" i="22"/>
  <c r="AP282" i="22" s="1"/>
  <c r="D282" i="22"/>
  <c r="AN282" i="22" s="1"/>
  <c r="F151" i="22"/>
  <c r="AP151" i="22" s="1"/>
  <c r="E151" i="22"/>
  <c r="AO151" i="22" s="1"/>
  <c r="D151" i="22"/>
  <c r="AN151" i="22" s="1"/>
  <c r="C151" i="22"/>
  <c r="AM151" i="22" s="1"/>
  <c r="D81" i="22"/>
  <c r="AN81" i="22" s="1"/>
  <c r="C81" i="22"/>
  <c r="AM81" i="22" s="1"/>
  <c r="E81" i="22"/>
  <c r="AO81" i="22" s="1"/>
  <c r="F81" i="22"/>
  <c r="AP81" i="22" s="1"/>
  <c r="C27" i="22"/>
  <c r="AM27" i="22" s="1"/>
  <c r="E27" i="22"/>
  <c r="AO27" i="22" s="1"/>
  <c r="F27" i="22"/>
  <c r="AP27" i="22" s="1"/>
  <c r="D27" i="22"/>
  <c r="AN27" i="22" s="1"/>
  <c r="G237" i="22"/>
  <c r="AQ237" i="22" s="1"/>
  <c r="U239" i="10" s="1"/>
  <c r="C255" i="22"/>
  <c r="AM255" i="22" s="1"/>
  <c r="F255" i="22"/>
  <c r="AP255" i="22" s="1"/>
  <c r="D255" i="22"/>
  <c r="AN255" i="22" s="1"/>
  <c r="E255" i="22"/>
  <c r="AO255" i="22" s="1"/>
  <c r="C196" i="22"/>
  <c r="AM196" i="22" s="1"/>
  <c r="D196" i="22"/>
  <c r="AN196" i="22" s="1"/>
  <c r="E196" i="22"/>
  <c r="AO196" i="22" s="1"/>
  <c r="F196" i="22"/>
  <c r="AP196" i="22" s="1"/>
  <c r="C88" i="22"/>
  <c r="AM88" i="22" s="1"/>
  <c r="E88" i="22"/>
  <c r="AO88" i="22" s="1"/>
  <c r="F88" i="22"/>
  <c r="AP88" i="22" s="1"/>
  <c r="D88" i="22"/>
  <c r="AN88" i="22" s="1"/>
  <c r="C262" i="22"/>
  <c r="AM262" i="22" s="1"/>
  <c r="E262" i="22"/>
  <c r="AO262" i="22" s="1"/>
  <c r="F262" i="22"/>
  <c r="AP262" i="22" s="1"/>
  <c r="D262" i="22"/>
  <c r="AN262" i="22" s="1"/>
  <c r="D202" i="22"/>
  <c r="AN202" i="22" s="1"/>
  <c r="F202" i="22"/>
  <c r="AP202" i="22" s="1"/>
  <c r="C202" i="22"/>
  <c r="AM202" i="22" s="1"/>
  <c r="E202" i="22"/>
  <c r="AO202" i="22" s="1"/>
  <c r="E203" i="22"/>
  <c r="AO203" i="22" s="1"/>
  <c r="F203" i="22"/>
  <c r="AP203" i="22" s="1"/>
  <c r="C203" i="22"/>
  <c r="AM203" i="22" s="1"/>
  <c r="D203" i="22"/>
  <c r="AN203" i="22" s="1"/>
  <c r="C78" i="22"/>
  <c r="AM78" i="22" s="1"/>
  <c r="D78" i="22"/>
  <c r="AN78" i="22" s="1"/>
  <c r="F78" i="22"/>
  <c r="AP78" i="22" s="1"/>
  <c r="E78" i="22"/>
  <c r="AO78" i="22" s="1"/>
  <c r="F239" i="22"/>
  <c r="AP239" i="22" s="1"/>
  <c r="E239" i="22"/>
  <c r="AO239" i="22" s="1"/>
  <c r="D239" i="22"/>
  <c r="AN239" i="22" s="1"/>
  <c r="E286" i="22"/>
  <c r="AO286" i="22" s="1"/>
  <c r="F286" i="22"/>
  <c r="AP286" i="22" s="1"/>
  <c r="C286" i="22"/>
  <c r="AM286" i="22" s="1"/>
  <c r="C300" i="22"/>
  <c r="AM300" i="22" s="1"/>
  <c r="D300" i="22"/>
  <c r="AN300" i="22" s="1"/>
  <c r="E300" i="22"/>
  <c r="AO300" i="22" s="1"/>
  <c r="F300" i="22"/>
  <c r="AP300" i="22" s="1"/>
  <c r="E276" i="22"/>
  <c r="AO276" i="22" s="1"/>
  <c r="F276" i="22"/>
  <c r="AP276" i="22" s="1"/>
  <c r="C276" i="22"/>
  <c r="AM276" i="22" s="1"/>
  <c r="D276" i="22"/>
  <c r="AN276" i="22" s="1"/>
  <c r="C198" i="22"/>
  <c r="AM198" i="22" s="1"/>
  <c r="D198" i="22"/>
  <c r="AN198" i="22" s="1"/>
  <c r="F198" i="22"/>
  <c r="AP198" i="22" s="1"/>
  <c r="E198" i="22"/>
  <c r="AO198" i="22" s="1"/>
  <c r="D149" i="22"/>
  <c r="AN149" i="22" s="1"/>
  <c r="E149" i="22"/>
  <c r="AO149" i="22" s="1"/>
  <c r="C149" i="22"/>
  <c r="AM149" i="22" s="1"/>
  <c r="F149" i="22"/>
  <c r="AP149" i="22" s="1"/>
  <c r="E73" i="22"/>
  <c r="AO73" i="22" s="1"/>
  <c r="D73" i="22"/>
  <c r="AN73" i="22" s="1"/>
  <c r="F73" i="22"/>
  <c r="AP73" i="22" s="1"/>
  <c r="C73" i="22"/>
  <c r="AM73" i="22" s="1"/>
  <c r="F161" i="22"/>
  <c r="AP161" i="22" s="1"/>
  <c r="D161" i="22"/>
  <c r="AN161" i="22" s="1"/>
  <c r="E161" i="22"/>
  <c r="AO161" i="22" s="1"/>
  <c r="E275" i="22"/>
  <c r="AO275" i="22" s="1"/>
  <c r="F275" i="22"/>
  <c r="AP275" i="22" s="1"/>
  <c r="D275" i="22"/>
  <c r="AN275" i="22" s="1"/>
  <c r="C275" i="22"/>
  <c r="AM275" i="22" s="1"/>
  <c r="E269" i="22"/>
  <c r="AO269" i="22" s="1"/>
  <c r="F269" i="22"/>
  <c r="AP269" i="22" s="1"/>
  <c r="D269" i="22"/>
  <c r="AN269" i="22" s="1"/>
  <c r="D150" i="22"/>
  <c r="AN150" i="22" s="1"/>
  <c r="E150" i="22"/>
  <c r="AO150" i="22" s="1"/>
  <c r="C150" i="22"/>
  <c r="AM150" i="22" s="1"/>
  <c r="F150" i="22"/>
  <c r="AP150" i="22" s="1"/>
  <c r="E193" i="22"/>
  <c r="AO193" i="22" s="1"/>
  <c r="S196" i="10" s="1"/>
  <c r="E196" i="10" s="1"/>
  <c r="F193" i="22"/>
  <c r="AP193" i="22" s="1"/>
  <c r="T196" i="10" s="1"/>
  <c r="F196" i="10" s="1"/>
  <c r="D210" i="22"/>
  <c r="AN210" i="22" s="1"/>
  <c r="E210" i="22"/>
  <c r="AO210" i="22" s="1"/>
  <c r="F210" i="22"/>
  <c r="AP210" i="22" s="1"/>
  <c r="D110" i="22"/>
  <c r="AN110" i="22" s="1"/>
  <c r="F110" i="22"/>
  <c r="AP110" i="22" s="1"/>
  <c r="C110" i="22"/>
  <c r="AM110" i="22" s="1"/>
  <c r="E110" i="22"/>
  <c r="AO110" i="22" s="1"/>
  <c r="F235" i="22"/>
  <c r="AP235" i="22" s="1"/>
  <c r="D235" i="22"/>
  <c r="AN235" i="22" s="1"/>
  <c r="C235" i="22"/>
  <c r="AM235" i="22" s="1"/>
  <c r="E235" i="22"/>
  <c r="AO235" i="22" s="1"/>
  <c r="C64" i="22"/>
  <c r="AM64" i="22" s="1"/>
  <c r="E64" i="22"/>
  <c r="AO64" i="22" s="1"/>
  <c r="F64" i="22"/>
  <c r="AP64" i="22" s="1"/>
  <c r="D64" i="22"/>
  <c r="AN64" i="22" s="1"/>
  <c r="C298" i="22"/>
  <c r="AM298" i="22" s="1"/>
  <c r="D298" i="22"/>
  <c r="AN298" i="22" s="1"/>
  <c r="E298" i="22"/>
  <c r="AO298" i="22" s="1"/>
  <c r="F298" i="22"/>
  <c r="AP298" i="22" s="1"/>
  <c r="F106" i="22"/>
  <c r="AP106" i="22" s="1"/>
  <c r="D106" i="22"/>
  <c r="AN106" i="22" s="1"/>
  <c r="C106" i="22"/>
  <c r="AM106" i="22" s="1"/>
  <c r="E106" i="22"/>
  <c r="AO106" i="22" s="1"/>
  <c r="G295" i="22"/>
  <c r="AQ295" i="22" s="1"/>
  <c r="U297" i="10" s="1"/>
  <c r="F143" i="22"/>
  <c r="AP143" i="22" s="1"/>
  <c r="C143" i="22"/>
  <c r="AM143" i="22" s="1"/>
  <c r="D143" i="22"/>
  <c r="AN143" i="22" s="1"/>
  <c r="E143" i="22"/>
  <c r="AO143" i="22" s="1"/>
  <c r="E124" i="22"/>
  <c r="AO124" i="22" s="1"/>
  <c r="F124" i="22"/>
  <c r="AP124" i="22" s="1"/>
  <c r="D124" i="22"/>
  <c r="AN124" i="22" s="1"/>
  <c r="D227" i="22"/>
  <c r="AN227" i="22" s="1"/>
  <c r="E227" i="22"/>
  <c r="AO227" i="22" s="1"/>
  <c r="C227" i="22"/>
  <c r="AM227" i="22" s="1"/>
  <c r="F227" i="22"/>
  <c r="AP227" i="22" s="1"/>
  <c r="E114" i="22"/>
  <c r="AO114" i="22" s="1"/>
  <c r="C114" i="22"/>
  <c r="AM114" i="22" s="1"/>
  <c r="F114" i="22"/>
  <c r="AP114" i="22" s="1"/>
  <c r="F248" i="22"/>
  <c r="AP248" i="22" s="1"/>
  <c r="C248" i="22"/>
  <c r="AM248" i="22" s="1"/>
  <c r="E248" i="22"/>
  <c r="AO248" i="22" s="1"/>
  <c r="F104" i="22"/>
  <c r="AP104" i="22" s="1"/>
  <c r="C104" i="22"/>
  <c r="AM104" i="22" s="1"/>
  <c r="D104" i="22"/>
  <c r="AN104" i="22" s="1"/>
  <c r="E104" i="22"/>
  <c r="AO104" i="22" s="1"/>
  <c r="E100" i="22"/>
  <c r="AO100" i="22" s="1"/>
  <c r="F100" i="22"/>
  <c r="AP100" i="22" s="1"/>
  <c r="D100" i="22"/>
  <c r="AN100" i="22" s="1"/>
  <c r="C100" i="22"/>
  <c r="AM100" i="22" s="1"/>
  <c r="D38" i="22"/>
  <c r="AN38" i="22" s="1"/>
  <c r="F38" i="22"/>
  <c r="AP38" i="22" s="1"/>
  <c r="C38" i="22"/>
  <c r="AM38" i="22" s="1"/>
  <c r="E38" i="22"/>
  <c r="AO38" i="22" s="1"/>
  <c r="E71" i="22"/>
  <c r="AO71" i="22" s="1"/>
  <c r="C71" i="22"/>
  <c r="AM71" i="22" s="1"/>
  <c r="D71" i="22"/>
  <c r="AN71" i="22" s="1"/>
  <c r="F71" i="22"/>
  <c r="AP71" i="22" s="1"/>
  <c r="F179" i="22"/>
  <c r="AP179" i="22" s="1"/>
  <c r="C179" i="22"/>
  <c r="AM179" i="22" s="1"/>
  <c r="D179" i="22"/>
  <c r="AN179" i="22" s="1"/>
  <c r="E179" i="22"/>
  <c r="AO179" i="22" s="1"/>
  <c r="F115" i="22"/>
  <c r="AP115" i="22" s="1"/>
  <c r="C115" i="22"/>
  <c r="AM115" i="22" s="1"/>
  <c r="E115" i="22"/>
  <c r="AO115" i="22" s="1"/>
  <c r="D115" i="22"/>
  <c r="AN115" i="22" s="1"/>
  <c r="F117" i="22"/>
  <c r="AP117" i="22" s="1"/>
  <c r="C117" i="22"/>
  <c r="AM117" i="22" s="1"/>
  <c r="D117" i="22"/>
  <c r="AN117" i="22" s="1"/>
  <c r="E117" i="22"/>
  <c r="AO117" i="22" s="1"/>
  <c r="F167" i="22"/>
  <c r="AP167" i="22" s="1"/>
  <c r="D167" i="22"/>
  <c r="AN167" i="22" s="1"/>
  <c r="E167" i="22"/>
  <c r="AO167" i="22" s="1"/>
  <c r="C167" i="22"/>
  <c r="AM167" i="22" s="1"/>
  <c r="F31" i="22"/>
  <c r="AP31" i="22" s="1"/>
  <c r="D31" i="22"/>
  <c r="AN31" i="22" s="1"/>
  <c r="E31" i="22"/>
  <c r="AO31" i="22" s="1"/>
  <c r="C36" i="22"/>
  <c r="AM36" i="22" s="1"/>
  <c r="F36" i="22"/>
  <c r="AP36" i="22" s="1"/>
  <c r="D36" i="22"/>
  <c r="AN36" i="22" s="1"/>
  <c r="E36" i="22"/>
  <c r="AO36" i="22" s="1"/>
  <c r="D267" i="22"/>
  <c r="AN267" i="22" s="1"/>
  <c r="E267" i="22"/>
  <c r="AO267" i="22" s="1"/>
  <c r="C267" i="22"/>
  <c r="AM267" i="22" s="1"/>
  <c r="F267" i="22"/>
  <c r="AP267" i="22" s="1"/>
  <c r="D102" i="22"/>
  <c r="AN102" i="22" s="1"/>
  <c r="E102" i="22"/>
  <c r="AO102" i="22" s="1"/>
  <c r="F102" i="22"/>
  <c r="AP102" i="22" s="1"/>
  <c r="C102" i="22"/>
  <c r="AM102" i="22" s="1"/>
  <c r="F304" i="22"/>
  <c r="AP304" i="22" s="1"/>
  <c r="D304" i="22"/>
  <c r="AN304" i="22" s="1"/>
  <c r="E304" i="22"/>
  <c r="AO304" i="22" s="1"/>
  <c r="E109" i="22"/>
  <c r="AO109" i="22" s="1"/>
  <c r="S112" i="10" s="1"/>
  <c r="E112" i="10" s="1"/>
  <c r="D109" i="22"/>
  <c r="AN109" i="22" s="1"/>
  <c r="R112" i="10" s="1"/>
  <c r="D112" i="10" s="1"/>
  <c r="F109" i="22"/>
  <c r="AP109" i="22" s="1"/>
  <c r="T112" i="10" s="1"/>
  <c r="F112" i="10" s="1"/>
  <c r="C109" i="22"/>
  <c r="AM109" i="22" s="1"/>
  <c r="Q112" i="10" s="1"/>
  <c r="C112" i="10" s="1"/>
  <c r="F79" i="22"/>
  <c r="AP79" i="22" s="1"/>
  <c r="C79" i="22"/>
  <c r="AM79" i="22" s="1"/>
  <c r="E79" i="22"/>
  <c r="AO79" i="22" s="1"/>
  <c r="D79" i="22"/>
  <c r="AN79" i="22" s="1"/>
  <c r="D247" i="22"/>
  <c r="AN247" i="22" s="1"/>
  <c r="C247" i="22"/>
  <c r="AM247" i="22" s="1"/>
  <c r="E247" i="22"/>
  <c r="AO247" i="22" s="1"/>
  <c r="F247" i="22"/>
  <c r="AP247" i="22" s="1"/>
  <c r="E37" i="22"/>
  <c r="AO37" i="22" s="1"/>
  <c r="C37" i="22"/>
  <c r="AM37" i="22" s="1"/>
  <c r="D37" i="22"/>
  <c r="AN37" i="22" s="1"/>
  <c r="F37" i="22"/>
  <c r="AP37" i="22" s="1"/>
  <c r="C274" i="22"/>
  <c r="AM274" i="22" s="1"/>
  <c r="E274" i="22"/>
  <c r="AO274" i="22" s="1"/>
  <c r="F274" i="22"/>
  <c r="AP274" i="22" s="1"/>
  <c r="D274" i="22"/>
  <c r="AN274" i="22" s="1"/>
  <c r="C241" i="22"/>
  <c r="AM241" i="22" s="1"/>
  <c r="D241" i="22"/>
  <c r="AN241" i="22" s="1"/>
  <c r="F241" i="22"/>
  <c r="AP241" i="22" s="1"/>
  <c r="E241" i="22"/>
  <c r="AO241" i="22" s="1"/>
  <c r="E148" i="22"/>
  <c r="AO148" i="22" s="1"/>
  <c r="C148" i="22"/>
  <c r="AM148" i="22" s="1"/>
  <c r="D148" i="22"/>
  <c r="AN148" i="22" s="1"/>
  <c r="F148" i="22"/>
  <c r="AP148" i="22" s="1"/>
  <c r="D279" i="22"/>
  <c r="AN279" i="22" s="1"/>
  <c r="E279" i="22"/>
  <c r="AO279" i="22" s="1"/>
  <c r="F279" i="22"/>
  <c r="AP279" i="22" s="1"/>
  <c r="D40" i="22"/>
  <c r="AN40" i="22" s="1"/>
  <c r="E40" i="22"/>
  <c r="AO40" i="22" s="1"/>
  <c r="C40" i="22"/>
  <c r="AM40" i="22" s="1"/>
  <c r="F40" i="22"/>
  <c r="AP40" i="22" s="1"/>
  <c r="E309" i="22"/>
  <c r="AO309" i="22" s="1"/>
  <c r="D309" i="22"/>
  <c r="AN309" i="22" s="1"/>
  <c r="F309" i="22"/>
  <c r="AP309" i="22" s="1"/>
  <c r="T312" i="10" s="1"/>
  <c r="C309" i="22"/>
  <c r="AM309" i="22" s="1"/>
  <c r="F176" i="22"/>
  <c r="AP176" i="22" s="1"/>
  <c r="E176" i="22"/>
  <c r="AO176" i="22" s="1"/>
  <c r="C176" i="22"/>
  <c r="AM176" i="22" s="1"/>
  <c r="D176" i="22"/>
  <c r="AN176" i="22" s="1"/>
  <c r="C16" i="22"/>
  <c r="AM16" i="22" s="1"/>
  <c r="E16" i="22"/>
  <c r="AO16" i="22" s="1"/>
  <c r="F16" i="22"/>
  <c r="AP16" i="22" s="1"/>
  <c r="D16" i="22"/>
  <c r="AN16" i="22" s="1"/>
  <c r="E216" i="22"/>
  <c r="AO216" i="22" s="1"/>
  <c r="F216" i="22"/>
  <c r="AP216" i="22" s="1"/>
  <c r="C216" i="22"/>
  <c r="AM216" i="22" s="1"/>
  <c r="D216" i="22"/>
  <c r="AN216" i="22" s="1"/>
  <c r="D30" i="22"/>
  <c r="AN30" i="22" s="1"/>
  <c r="E30" i="22"/>
  <c r="AO30" i="22" s="1"/>
  <c r="F30" i="22"/>
  <c r="AP30" i="22" s="1"/>
  <c r="F42" i="22"/>
  <c r="AP42" i="22" s="1"/>
  <c r="C42" i="22"/>
  <c r="AM42" i="22" s="1"/>
  <c r="D42" i="22"/>
  <c r="AN42" i="22" s="1"/>
  <c r="E42" i="22"/>
  <c r="AO42" i="22" s="1"/>
  <c r="F90" i="22"/>
  <c r="AP90" i="22" s="1"/>
  <c r="C90" i="22"/>
  <c r="AM90" i="22" s="1"/>
  <c r="D90" i="22"/>
  <c r="AN90" i="22" s="1"/>
  <c r="E90" i="22"/>
  <c r="AO90" i="22" s="1"/>
  <c r="D60" i="22"/>
  <c r="AN60" i="22" s="1"/>
  <c r="F60" i="22"/>
  <c r="AP60" i="22" s="1"/>
  <c r="E60" i="22"/>
  <c r="AO60" i="22" s="1"/>
  <c r="E281" i="22"/>
  <c r="AO281" i="22" s="1"/>
  <c r="C281" i="22"/>
  <c r="AM281" i="22" s="1"/>
  <c r="D281" i="22"/>
  <c r="AN281" i="22" s="1"/>
  <c r="F281" i="22"/>
  <c r="AP281" i="22" s="1"/>
  <c r="E11" i="22"/>
  <c r="AO11" i="22" s="1"/>
  <c r="C11" i="22"/>
  <c r="AM11" i="22" s="1"/>
  <c r="F11" i="22"/>
  <c r="AP11" i="22" s="1"/>
  <c r="F299" i="22"/>
  <c r="AP299" i="22" s="1"/>
  <c r="C299" i="22"/>
  <c r="AM299" i="22" s="1"/>
  <c r="E299" i="22"/>
  <c r="AO299" i="22" s="1"/>
  <c r="D299" i="22"/>
  <c r="AN299" i="22" s="1"/>
  <c r="F45" i="22"/>
  <c r="AP45" i="22" s="1"/>
  <c r="C45" i="22"/>
  <c r="AM45" i="22" s="1"/>
  <c r="D45" i="22"/>
  <c r="AN45" i="22" s="1"/>
  <c r="E45" i="22"/>
  <c r="AO45" i="22" s="1"/>
  <c r="F95" i="22"/>
  <c r="AP95" i="22" s="1"/>
  <c r="C95" i="22"/>
  <c r="AM95" i="22" s="1"/>
  <c r="E95" i="22"/>
  <c r="AO95" i="22" s="1"/>
  <c r="F101" i="22"/>
  <c r="AP101" i="22" s="1"/>
  <c r="C101" i="22"/>
  <c r="AM101" i="22" s="1"/>
  <c r="E101" i="22"/>
  <c r="AO101" i="22" s="1"/>
  <c r="D101" i="22"/>
  <c r="AN101" i="22" s="1"/>
  <c r="E53" i="22"/>
  <c r="AO53" i="22" s="1"/>
  <c r="D53" i="22"/>
  <c r="AN53" i="22" s="1"/>
  <c r="F53" i="22"/>
  <c r="AP53" i="22" s="1"/>
  <c r="C53" i="22"/>
  <c r="AM53" i="22" s="1"/>
  <c r="C297" i="22"/>
  <c r="AM297" i="22" s="1"/>
  <c r="F297" i="22"/>
  <c r="AP297" i="22" s="1"/>
  <c r="E297" i="22"/>
  <c r="AO297" i="22" s="1"/>
  <c r="D297" i="22"/>
  <c r="AN297" i="22" s="1"/>
  <c r="D76" i="22"/>
  <c r="AN76" i="22" s="1"/>
  <c r="C76" i="22"/>
  <c r="AM76" i="22" s="1"/>
  <c r="E76" i="22"/>
  <c r="AO76" i="22" s="1"/>
  <c r="F76" i="22"/>
  <c r="AP76" i="22" s="1"/>
  <c r="E135" i="22"/>
  <c r="AO135" i="22" s="1"/>
  <c r="F135" i="22"/>
  <c r="AP135" i="22" s="1"/>
  <c r="C135" i="22"/>
  <c r="AM135" i="22" s="1"/>
  <c r="D135" i="22"/>
  <c r="AN135" i="22" s="1"/>
  <c r="F70" i="22"/>
  <c r="AP70" i="22" s="1"/>
  <c r="C70" i="22"/>
  <c r="AM70" i="22" s="1"/>
  <c r="E70" i="22"/>
  <c r="AO70" i="22" s="1"/>
  <c r="D204" i="22"/>
  <c r="AN204" i="22" s="1"/>
  <c r="F204" i="22"/>
  <c r="AP204" i="22" s="1"/>
  <c r="C204" i="22"/>
  <c r="AM204" i="22" s="1"/>
  <c r="E204" i="22"/>
  <c r="AO204" i="22" s="1"/>
  <c r="C252" i="22"/>
  <c r="AM252" i="22" s="1"/>
  <c r="D252" i="22"/>
  <c r="AN252" i="22" s="1"/>
  <c r="E252" i="22"/>
  <c r="AO252" i="22" s="1"/>
  <c r="F252" i="22"/>
  <c r="AP252" i="22" s="1"/>
  <c r="D123" i="22"/>
  <c r="AN123" i="22" s="1"/>
  <c r="C123" i="22"/>
  <c r="AM123" i="22" s="1"/>
  <c r="E123" i="22"/>
  <c r="AO123" i="22" s="1"/>
  <c r="F123" i="22"/>
  <c r="AP123" i="22" s="1"/>
  <c r="D127" i="22"/>
  <c r="AN127" i="22" s="1"/>
  <c r="E127" i="22"/>
  <c r="AO127" i="22" s="1"/>
  <c r="C127" i="22"/>
  <c r="AM127" i="22" s="1"/>
  <c r="F127" i="22"/>
  <c r="AP127" i="22" s="1"/>
  <c r="E186" i="22"/>
  <c r="AO186" i="22" s="1"/>
  <c r="F186" i="22"/>
  <c r="AP186" i="22" s="1"/>
  <c r="D186" i="22"/>
  <c r="AN186" i="22" s="1"/>
  <c r="C22" i="22"/>
  <c r="AM22" i="22" s="1"/>
  <c r="D22" i="22"/>
  <c r="AN22" i="22" s="1"/>
  <c r="E22" i="22"/>
  <c r="AO22" i="22" s="1"/>
  <c r="F22" i="22"/>
  <c r="AP22" i="22" s="1"/>
  <c r="C163" i="22"/>
  <c r="AM163" i="22" s="1"/>
  <c r="D163" i="22"/>
  <c r="AN163" i="22" s="1"/>
  <c r="E163" i="22"/>
  <c r="AO163" i="22" s="1"/>
  <c r="F163" i="22"/>
  <c r="AP163" i="22" s="1"/>
  <c r="E200" i="22"/>
  <c r="AO200" i="22" s="1"/>
  <c r="F200" i="22"/>
  <c r="AP200" i="22" s="1"/>
  <c r="D200" i="22"/>
  <c r="AN200" i="22" s="1"/>
  <c r="C200" i="22"/>
  <c r="AM200" i="22" s="1"/>
  <c r="F175" i="22"/>
  <c r="AP175" i="22" s="1"/>
  <c r="C175" i="22"/>
  <c r="AM175" i="22" s="1"/>
  <c r="D175" i="22"/>
  <c r="AN175" i="22" s="1"/>
  <c r="E175" i="22"/>
  <c r="AO175" i="22" s="1"/>
  <c r="F18" i="22"/>
  <c r="AP18" i="22" s="1"/>
  <c r="E18" i="22"/>
  <c r="AO18" i="22" s="1"/>
  <c r="D18" i="22"/>
  <c r="AN18" i="22" s="1"/>
  <c r="E256" i="22"/>
  <c r="AO256" i="22" s="1"/>
  <c r="F256" i="22"/>
  <c r="AP256" i="22" s="1"/>
  <c r="C256" i="22"/>
  <c r="AM256" i="22" s="1"/>
  <c r="D256" i="22"/>
  <c r="AN256" i="22" s="1"/>
  <c r="F260" i="22"/>
  <c r="AP260" i="22" s="1"/>
  <c r="C260" i="22"/>
  <c r="AM260" i="22" s="1"/>
  <c r="D260" i="22"/>
  <c r="AN260" i="22" s="1"/>
  <c r="E260" i="22"/>
  <c r="AO260" i="22" s="1"/>
  <c r="D113" i="22"/>
  <c r="AN113" i="22" s="1"/>
  <c r="E113" i="22"/>
  <c r="AO113" i="22" s="1"/>
  <c r="F113" i="22"/>
  <c r="AP113" i="22" s="1"/>
  <c r="D139" i="22"/>
  <c r="AN139" i="22" s="1"/>
  <c r="E139" i="22"/>
  <c r="AO139" i="22" s="1"/>
  <c r="C139" i="22"/>
  <c r="AM139" i="22" s="1"/>
  <c r="F139" i="22"/>
  <c r="AP139" i="22" s="1"/>
  <c r="D51" i="22"/>
  <c r="AN51" i="22" s="1"/>
  <c r="C51" i="22"/>
  <c r="AM51" i="22" s="1"/>
  <c r="F51" i="22"/>
  <c r="AP51" i="22" s="1"/>
  <c r="E51" i="22"/>
  <c r="AO51" i="22" s="1"/>
  <c r="E107" i="22"/>
  <c r="AO107" i="22" s="1"/>
  <c r="D107" i="22"/>
  <c r="AN107" i="22" s="1"/>
  <c r="F107" i="22"/>
  <c r="AP107" i="22" s="1"/>
  <c r="E292" i="22"/>
  <c r="AO292" i="22" s="1"/>
  <c r="C292" i="22"/>
  <c r="AM292" i="22" s="1"/>
  <c r="F292" i="22"/>
  <c r="AP292" i="22" s="1"/>
  <c r="D288" i="22"/>
  <c r="AN288" i="22" s="1"/>
  <c r="C288" i="22"/>
  <c r="AM288" i="22" s="1"/>
  <c r="E288" i="22"/>
  <c r="AO288" i="22" s="1"/>
  <c r="F288" i="22"/>
  <c r="AP288" i="22" s="1"/>
  <c r="D112" i="22"/>
  <c r="AN112" i="22" s="1"/>
  <c r="E112" i="22"/>
  <c r="AO112" i="22" s="1"/>
  <c r="F112" i="22"/>
  <c r="AP112" i="22" s="1"/>
  <c r="D91" i="22"/>
  <c r="AN91" i="22" s="1"/>
  <c r="E91" i="22"/>
  <c r="AO91" i="22" s="1"/>
  <c r="F91" i="22"/>
  <c r="AP91" i="22" s="1"/>
  <c r="C91" i="22"/>
  <c r="AM91" i="22" s="1"/>
  <c r="D164" i="22"/>
  <c r="AN164" i="22" s="1"/>
  <c r="E164" i="22"/>
  <c r="AO164" i="22" s="1"/>
  <c r="C164" i="22"/>
  <c r="AM164" i="22" s="1"/>
  <c r="F164" i="22"/>
  <c r="AP164" i="22" s="1"/>
  <c r="C15" i="22"/>
  <c r="AM15" i="22" s="1"/>
  <c r="D15" i="22"/>
  <c r="AN15" i="22" s="1"/>
  <c r="F15" i="22"/>
  <c r="AP15" i="22" s="1"/>
  <c r="E15" i="22"/>
  <c r="AO15" i="22" s="1"/>
  <c r="E111" i="22"/>
  <c r="AO111" i="22" s="1"/>
  <c r="F111" i="22"/>
  <c r="AP111" i="22" s="1"/>
  <c r="C111" i="22"/>
  <c r="AM111" i="22" s="1"/>
  <c r="D111" i="22"/>
  <c r="AN111" i="22" s="1"/>
  <c r="F207" i="22"/>
  <c r="AP207" i="22" s="1"/>
  <c r="E207" i="22"/>
  <c r="AO207" i="22" s="1"/>
  <c r="C207" i="22"/>
  <c r="AM207" i="22" s="1"/>
  <c r="D207" i="22"/>
  <c r="AN207" i="22" s="1"/>
  <c r="C225" i="22"/>
  <c r="AM225" i="22" s="1"/>
  <c r="E225" i="22"/>
  <c r="AO225" i="22" s="1"/>
  <c r="F225" i="22"/>
  <c r="AP225" i="22" s="1"/>
  <c r="D171" i="22"/>
  <c r="AN171" i="22" s="1"/>
  <c r="E171" i="22"/>
  <c r="AO171" i="22" s="1"/>
  <c r="F171" i="22"/>
  <c r="AP171" i="22" s="1"/>
  <c r="D240" i="22"/>
  <c r="AN240" i="22" s="1"/>
  <c r="F240" i="22"/>
  <c r="AP240" i="22" s="1"/>
  <c r="E240" i="22"/>
  <c r="AO240" i="22" s="1"/>
  <c r="D154" i="22"/>
  <c r="AN154" i="22" s="1"/>
  <c r="F154" i="22"/>
  <c r="AP154" i="22" s="1"/>
  <c r="C154" i="22"/>
  <c r="AM154" i="22" s="1"/>
  <c r="E154" i="22"/>
  <c r="AO154" i="22" s="1"/>
  <c r="E136" i="22"/>
  <c r="AO136" i="22" s="1"/>
  <c r="F136" i="22"/>
  <c r="AP136" i="22" s="1"/>
  <c r="D136" i="22"/>
  <c r="AN136" i="22" s="1"/>
  <c r="C136" i="22"/>
  <c r="AM136" i="22" s="1"/>
  <c r="F21" i="22"/>
  <c r="AP21" i="22" s="1"/>
  <c r="C21" i="22"/>
  <c r="AM21" i="22" s="1"/>
  <c r="D21" i="22"/>
  <c r="AN21" i="22" s="1"/>
  <c r="E21" i="22"/>
  <c r="AO21" i="22" s="1"/>
  <c r="C99" i="22"/>
  <c r="AM99" i="22" s="1"/>
  <c r="E99" i="22"/>
  <c r="AO99" i="22" s="1"/>
  <c r="F99" i="22"/>
  <c r="AP99" i="22" s="1"/>
  <c r="D99" i="22"/>
  <c r="AN99" i="22" s="1"/>
  <c r="F169" i="22"/>
  <c r="AP169" i="22" s="1"/>
  <c r="D169" i="22"/>
  <c r="AN169" i="22" s="1"/>
  <c r="E169" i="22"/>
  <c r="AO169" i="22" s="1"/>
  <c r="D172" i="22"/>
  <c r="AN172" i="22" s="1"/>
  <c r="C172" i="22"/>
  <c r="AM172" i="22" s="1"/>
  <c r="F172" i="22"/>
  <c r="AP172" i="22" s="1"/>
  <c r="E172" i="22"/>
  <c r="AO172" i="22" s="1"/>
  <c r="E178" i="22"/>
  <c r="AO178" i="22" s="1"/>
  <c r="D178" i="22"/>
  <c r="AN178" i="22" s="1"/>
  <c r="F178" i="22"/>
  <c r="AP178" i="22" s="1"/>
  <c r="F74" i="22"/>
  <c r="AP74" i="22" s="1"/>
  <c r="C74" i="22"/>
  <c r="AM74" i="22" s="1"/>
  <c r="E74" i="22"/>
  <c r="AO74" i="22" s="1"/>
  <c r="C56" i="22"/>
  <c r="AM56" i="22" s="1"/>
  <c r="F56" i="22"/>
  <c r="AP56" i="22" s="1"/>
  <c r="D56" i="22"/>
  <c r="AN56" i="22" s="1"/>
  <c r="E56" i="22"/>
  <c r="AO56" i="22" s="1"/>
  <c r="C72" i="22"/>
  <c r="AM72" i="22" s="1"/>
  <c r="D72" i="22"/>
  <c r="AN72" i="22" s="1"/>
  <c r="F72" i="22"/>
  <c r="AP72" i="22" s="1"/>
  <c r="E72" i="22"/>
  <c r="AO72" i="22" s="1"/>
  <c r="E294" i="22"/>
  <c r="AO294" i="22" s="1"/>
  <c r="C294" i="22"/>
  <c r="AM294" i="22" s="1"/>
  <c r="D294" i="22"/>
  <c r="AN294" i="22" s="1"/>
  <c r="F294" i="22"/>
  <c r="AP294" i="22" s="1"/>
  <c r="C289" i="22"/>
  <c r="AM289" i="22" s="1"/>
  <c r="D289" i="22"/>
  <c r="AN289" i="22" s="1"/>
  <c r="E289" i="22"/>
  <c r="AO289" i="22" s="1"/>
  <c r="F289" i="22"/>
  <c r="AP289" i="22" s="1"/>
  <c r="D305" i="22"/>
  <c r="AN305" i="22" s="1"/>
  <c r="E305" i="22"/>
  <c r="AO305" i="22" s="1"/>
  <c r="F305" i="22"/>
  <c r="AP305" i="22" s="1"/>
  <c r="C201" i="22"/>
  <c r="AM201" i="22" s="1"/>
  <c r="D201" i="22"/>
  <c r="AN201" i="22" s="1"/>
  <c r="F201" i="22"/>
  <c r="AP201" i="22" s="1"/>
  <c r="E201" i="22"/>
  <c r="AO201" i="22" s="1"/>
  <c r="C213" i="22"/>
  <c r="AM213" i="22" s="1"/>
  <c r="D213" i="22"/>
  <c r="AN213" i="22" s="1"/>
  <c r="E213" i="22"/>
  <c r="AO213" i="22" s="1"/>
  <c r="F213" i="22"/>
  <c r="AP213" i="22" s="1"/>
  <c r="E287" i="22"/>
  <c r="AO287" i="22" s="1"/>
  <c r="C287" i="22"/>
  <c r="AM287" i="22" s="1"/>
  <c r="D287" i="22"/>
  <c r="AN287" i="22" s="1"/>
  <c r="F287" i="22"/>
  <c r="AP287" i="22" s="1"/>
  <c r="F268" i="22"/>
  <c r="AP268" i="22" s="1"/>
  <c r="E268" i="22"/>
  <c r="AO268" i="22" s="1"/>
  <c r="C268" i="22"/>
  <c r="AM268" i="22" s="1"/>
  <c r="D268" i="22"/>
  <c r="AN268" i="22" s="1"/>
  <c r="E118" i="22"/>
  <c r="AO118" i="22" s="1"/>
  <c r="F118" i="22"/>
  <c r="AP118" i="22" s="1"/>
  <c r="D118" i="22"/>
  <c r="AN118" i="22" s="1"/>
  <c r="C118" i="22"/>
  <c r="AM118" i="22" s="1"/>
  <c r="E280" i="22"/>
  <c r="AO280" i="22" s="1"/>
  <c r="D280" i="22"/>
  <c r="AN280" i="22" s="1"/>
  <c r="F280" i="22"/>
  <c r="AP280" i="22" s="1"/>
  <c r="C280" i="22"/>
  <c r="AM280" i="22" s="1"/>
  <c r="D182" i="22"/>
  <c r="AN182" i="22" s="1"/>
  <c r="E182" i="22"/>
  <c r="AO182" i="22" s="1"/>
  <c r="F182" i="22"/>
  <c r="AP182" i="22" s="1"/>
  <c r="E190" i="22"/>
  <c r="AO190" i="22" s="1"/>
  <c r="C190" i="22"/>
  <c r="AM190" i="22" s="1"/>
  <c r="D190" i="22"/>
  <c r="AN190" i="22" s="1"/>
  <c r="F190" i="22"/>
  <c r="AP190" i="22" s="1"/>
  <c r="C140" i="22"/>
  <c r="AM140" i="22" s="1"/>
  <c r="D140" i="22"/>
  <c r="AN140" i="22" s="1"/>
  <c r="E140" i="22"/>
  <c r="AO140" i="22" s="1"/>
  <c r="F140" i="22"/>
  <c r="AP140" i="22" s="1"/>
  <c r="C270" i="22"/>
  <c r="AM270" i="22" s="1"/>
  <c r="F270" i="22"/>
  <c r="AP270" i="22" s="1"/>
  <c r="D270" i="22"/>
  <c r="AN270" i="22" s="1"/>
  <c r="E270" i="22"/>
  <c r="AO270" i="22" s="1"/>
  <c r="F147" i="22"/>
  <c r="AP147" i="22" s="1"/>
  <c r="C147" i="22"/>
  <c r="AM147" i="22" s="1"/>
  <c r="D147" i="22"/>
  <c r="AN147" i="22" s="1"/>
  <c r="E147" i="22"/>
  <c r="AO147" i="22" s="1"/>
  <c r="E180" i="22"/>
  <c r="AO180" i="22" s="1"/>
  <c r="C180" i="22"/>
  <c r="AM180" i="22" s="1"/>
  <c r="D180" i="22"/>
  <c r="AN180" i="22" s="1"/>
  <c r="F180" i="22"/>
  <c r="AP180" i="22" s="1"/>
  <c r="F132" i="22"/>
  <c r="AP132" i="22" s="1"/>
  <c r="E132" i="22"/>
  <c r="AO132" i="22" s="1"/>
  <c r="D132" i="22"/>
  <c r="AN132" i="22" s="1"/>
  <c r="C132" i="22"/>
  <c r="AM132" i="22" s="1"/>
  <c r="F155" i="22"/>
  <c r="AP155" i="22" s="1"/>
  <c r="C155" i="22"/>
  <c r="AM155" i="22" s="1"/>
  <c r="D155" i="22"/>
  <c r="AN155" i="22" s="1"/>
  <c r="E155" i="22"/>
  <c r="AO155" i="22" s="1"/>
  <c r="D129" i="22"/>
  <c r="AN129" i="22" s="1"/>
  <c r="E129" i="22"/>
  <c r="AO129" i="22" s="1"/>
  <c r="F129" i="22"/>
  <c r="AP129" i="22" s="1"/>
  <c r="E242" i="22"/>
  <c r="AO242" i="22" s="1"/>
  <c r="F242" i="22"/>
  <c r="AP242" i="22" s="1"/>
  <c r="D242" i="22"/>
  <c r="AN242" i="22" s="1"/>
  <c r="C242" i="22"/>
  <c r="AM242" i="22" s="1"/>
  <c r="C317" i="10"/>
  <c r="F317" i="10"/>
  <c r="P128" i="9"/>
  <c r="P94" i="9"/>
  <c r="P147" i="9"/>
  <c r="P83" i="9"/>
  <c r="P47" i="9"/>
  <c r="P102" i="9"/>
  <c r="P277" i="9"/>
  <c r="P302" i="9"/>
  <c r="P310" i="9"/>
  <c r="P114" i="9"/>
  <c r="P218" i="9"/>
  <c r="P180" i="9"/>
  <c r="P75" i="9"/>
  <c r="P98" i="9"/>
  <c r="P174" i="9"/>
  <c r="P68" i="9"/>
  <c r="P158" i="9"/>
  <c r="P72" i="9"/>
  <c r="P132" i="9"/>
  <c r="P173" i="9"/>
  <c r="P54" i="9"/>
  <c r="P164" i="9"/>
  <c r="P183" i="9"/>
  <c r="P19" i="9"/>
  <c r="P127" i="9"/>
  <c r="P23" i="9"/>
  <c r="P165" i="9"/>
  <c r="P285" i="9"/>
  <c r="P185" i="9"/>
  <c r="P134" i="9"/>
  <c r="P42" i="9"/>
  <c r="P73" i="9"/>
  <c r="P118" i="9"/>
  <c r="P283" i="9"/>
  <c r="P182" i="9"/>
  <c r="P21" i="9"/>
  <c r="P309" i="9"/>
  <c r="P210" i="9"/>
  <c r="P294" i="9"/>
  <c r="P27" i="9"/>
  <c r="P91" i="9"/>
  <c r="P212" i="9"/>
  <c r="P161" i="9"/>
  <c r="P76" i="9"/>
  <c r="P92" i="9"/>
  <c r="P78" i="9"/>
  <c r="P33" i="9"/>
  <c r="P160" i="9"/>
  <c r="P39" i="9"/>
  <c r="P144" i="9"/>
  <c r="P56" i="9"/>
  <c r="P152" i="9"/>
  <c r="P24" i="9"/>
  <c r="P52" i="9"/>
  <c r="P60" i="9"/>
  <c r="P156" i="9"/>
  <c r="P287" i="9"/>
  <c r="P30" i="9"/>
  <c r="P179" i="9"/>
  <c r="P49" i="9"/>
  <c r="P167" i="9"/>
  <c r="P213" i="9"/>
  <c r="P82" i="9"/>
  <c r="P129" i="9"/>
  <c r="P290" i="9"/>
  <c r="P90" i="9"/>
  <c r="P25" i="9"/>
  <c r="P154" i="9"/>
  <c r="P105" i="9"/>
  <c r="P142" i="9"/>
  <c r="P87" i="9"/>
  <c r="P153" i="9"/>
  <c r="P194" i="9"/>
  <c r="P28" i="9"/>
  <c r="P166" i="9"/>
  <c r="P121" i="9"/>
  <c r="P108" i="9"/>
  <c r="P143" i="9"/>
  <c r="P187" i="9"/>
  <c r="P115" i="9"/>
  <c r="P149" i="9"/>
  <c r="P292" i="9"/>
  <c r="P120" i="9"/>
  <c r="P303" i="9"/>
  <c r="P186" i="9"/>
  <c r="P191" i="9"/>
  <c r="P77" i="9"/>
  <c r="P41" i="9"/>
  <c r="P135" i="9"/>
  <c r="P148" i="9"/>
  <c r="P96" i="9"/>
  <c r="P45" i="9"/>
  <c r="P195" i="9"/>
  <c r="P117" i="9"/>
  <c r="P113" i="9"/>
  <c r="P211" i="9"/>
  <c r="P188" i="9"/>
  <c r="P140" i="9"/>
  <c r="P22" i="9"/>
  <c r="P313" i="9"/>
  <c r="P198" i="9"/>
  <c r="P314" i="9"/>
  <c r="P162" i="9"/>
  <c r="P125" i="9"/>
  <c r="P97" i="9"/>
  <c r="P139" i="9"/>
  <c r="P172" i="9"/>
  <c r="P311" i="9"/>
  <c r="P67" i="9"/>
  <c r="P163" i="9"/>
  <c r="P126" i="9"/>
  <c r="P209" i="9"/>
  <c r="P304" i="9"/>
  <c r="P288" i="9"/>
  <c r="P159" i="9"/>
  <c r="P136" i="9"/>
  <c r="P293" i="9"/>
  <c r="P38" i="9"/>
  <c r="P26" i="9"/>
  <c r="P216" i="9"/>
  <c r="P86" i="9"/>
  <c r="P278" i="9"/>
  <c r="P32" i="9"/>
  <c r="P53" i="9"/>
  <c r="P46" i="9"/>
  <c r="P289" i="9"/>
  <c r="P93" i="9"/>
  <c r="P130" i="9"/>
  <c r="P181" i="9"/>
  <c r="P169" i="9"/>
  <c r="P193" i="9"/>
  <c r="P131" i="9"/>
  <c r="P116" i="9"/>
  <c r="P104" i="9"/>
  <c r="P175" i="9"/>
  <c r="P138" i="9"/>
  <c r="P308" i="9"/>
  <c r="P99" i="9"/>
  <c r="P69" i="9"/>
  <c r="P197" i="9"/>
  <c r="P168" i="9"/>
  <c r="P133" i="9"/>
  <c r="P178" i="9"/>
  <c r="P295" i="9"/>
  <c r="P95" i="9"/>
  <c r="P119" i="9"/>
  <c r="P215" i="9"/>
  <c r="P44" i="9"/>
  <c r="P107" i="9"/>
  <c r="P80" i="9"/>
  <c r="P276" i="9"/>
  <c r="P74" i="9"/>
  <c r="P301" i="9"/>
  <c r="P298" i="9"/>
  <c r="P61" i="9"/>
  <c r="P176" i="9"/>
  <c r="P150" i="9"/>
  <c r="P57" i="9"/>
  <c r="P106" i="9"/>
  <c r="P141" i="9"/>
  <c r="P192" i="9"/>
  <c r="P145" i="9"/>
  <c r="P299" i="9"/>
  <c r="P305" i="9"/>
  <c r="P280" i="9"/>
  <c r="P55" i="9"/>
  <c r="P155" i="9"/>
  <c r="P50" i="9"/>
  <c r="P79" i="9"/>
  <c r="P286" i="9"/>
  <c r="P48" i="9"/>
  <c r="P84" i="9"/>
  <c r="P297" i="9"/>
  <c r="P284" i="9"/>
  <c r="P29" i="9"/>
  <c r="P89" i="9"/>
  <c r="P137" i="9"/>
  <c r="P51" i="9"/>
  <c r="P66" i="9"/>
  <c r="P122" i="9"/>
  <c r="P31" i="9"/>
  <c r="P214" i="9"/>
  <c r="P124" i="9"/>
  <c r="P189" i="9"/>
  <c r="P177" i="9"/>
  <c r="P81" i="9"/>
  <c r="P151" i="9"/>
  <c r="P58" i="9"/>
  <c r="P59" i="9"/>
  <c r="P306" i="9"/>
  <c r="P35" i="9"/>
  <c r="P103" i="9"/>
  <c r="P43" i="9"/>
  <c r="P157" i="9"/>
  <c r="P281" i="9"/>
  <c r="P217" i="9"/>
  <c r="P184" i="9"/>
  <c r="P40" i="9"/>
  <c r="P20" i="9"/>
  <c r="P282" i="9"/>
  <c r="P109" i="9"/>
  <c r="P64" i="9"/>
  <c r="T12" i="10"/>
  <c r="G313" i="18"/>
  <c r="AQ9" i="22" l="1"/>
  <c r="U11" i="10" s="1"/>
  <c r="AQ10" i="22"/>
  <c r="U12" i="10" s="1"/>
  <c r="AQ32" i="22"/>
  <c r="U35" i="10" s="1"/>
  <c r="AF10" i="22"/>
  <c r="AG32" i="22"/>
  <c r="AG223" i="22"/>
  <c r="AF223" i="22"/>
  <c r="AG10" i="22"/>
  <c r="AG13" i="22"/>
  <c r="L15" i="9" s="1"/>
  <c r="M15" i="9" s="1"/>
  <c r="AF13" i="22"/>
  <c r="G15" i="9" s="1"/>
  <c r="AI13" i="22" s="1"/>
  <c r="AF312" i="22"/>
  <c r="AG312" i="22"/>
  <c r="AF295" i="22"/>
  <c r="AG295" i="22"/>
  <c r="AF9" i="22"/>
  <c r="AG9" i="22"/>
  <c r="AG307" i="22"/>
  <c r="AF307" i="22"/>
  <c r="AF122" i="22"/>
  <c r="AF313" i="22"/>
  <c r="AG122" i="22"/>
  <c r="AF188" i="22"/>
  <c r="AG313" i="22"/>
  <c r="AG237" i="22"/>
  <c r="L239" i="9" s="1"/>
  <c r="M239" i="9" s="1"/>
  <c r="AF237" i="22"/>
  <c r="G239" i="9" s="1"/>
  <c r="AI237" i="22" s="1"/>
  <c r="AJ237" i="22" s="1"/>
  <c r="AG188" i="22"/>
  <c r="AF32" i="22"/>
  <c r="F324" i="22"/>
  <c r="E324" i="22"/>
  <c r="D95" i="22"/>
  <c r="AN95" i="22" s="1"/>
  <c r="T300" i="10"/>
  <c r="D296" i="22"/>
  <c r="AN296" i="22" s="1"/>
  <c r="D168" i="22"/>
  <c r="AN168" i="22" s="1"/>
  <c r="D141" i="22"/>
  <c r="AN141" i="22" s="1"/>
  <c r="T13" i="10"/>
  <c r="D11" i="22"/>
  <c r="AN11" i="22" s="1"/>
  <c r="T137" i="10"/>
  <c r="D133" i="22"/>
  <c r="AN133" i="22" s="1"/>
  <c r="D226" i="22"/>
  <c r="AN226" i="22" s="1"/>
  <c r="T254" i="10"/>
  <c r="D251" i="22"/>
  <c r="AN251" i="22" s="1"/>
  <c r="C194" i="22"/>
  <c r="AM194" i="22" s="1"/>
  <c r="T246" i="10"/>
  <c r="F246" i="10" s="1"/>
  <c r="D244" i="22"/>
  <c r="AN244" i="22" s="1"/>
  <c r="R246" i="10" s="1"/>
  <c r="D246" i="10" s="1"/>
  <c r="C240" i="22"/>
  <c r="AM240" i="22" s="1"/>
  <c r="D70" i="22"/>
  <c r="AN70" i="22" s="1"/>
  <c r="C269" i="22"/>
  <c r="AM269" i="22" s="1"/>
  <c r="C239" i="22"/>
  <c r="AM239" i="22" s="1"/>
  <c r="T37" i="10"/>
  <c r="D34" i="22"/>
  <c r="AN34" i="22" s="1"/>
  <c r="D114" i="22"/>
  <c r="AN114" i="22" s="1"/>
  <c r="C210" i="22"/>
  <c r="AM210" i="22" s="1"/>
  <c r="D62" i="22"/>
  <c r="AN62" i="22" s="1"/>
  <c r="C125" i="22"/>
  <c r="AM125" i="22" s="1"/>
  <c r="D144" i="22"/>
  <c r="AN144" i="22" s="1"/>
  <c r="C34" i="22"/>
  <c r="AM34" i="22" s="1"/>
  <c r="D265" i="22"/>
  <c r="AN265" i="22" s="1"/>
  <c r="C228" i="22"/>
  <c r="AM228" i="22" s="1"/>
  <c r="C271" i="22"/>
  <c r="AM271" i="22" s="1"/>
  <c r="T252" i="10"/>
  <c r="D249" i="22"/>
  <c r="AN249" i="22" s="1"/>
  <c r="R251" i="10" s="1"/>
  <c r="D251" i="10" s="1"/>
  <c r="C215" i="22"/>
  <c r="AM215" i="22" s="1"/>
  <c r="C182" i="22"/>
  <c r="AM182" i="22" s="1"/>
  <c r="C171" i="22"/>
  <c r="AM171" i="22" s="1"/>
  <c r="C186" i="22"/>
  <c r="AM186" i="22" s="1"/>
  <c r="C193" i="22"/>
  <c r="AM193" i="22" s="1"/>
  <c r="Q196" i="10" s="1"/>
  <c r="C196" i="10" s="1"/>
  <c r="D54" i="22"/>
  <c r="AN54" i="22" s="1"/>
  <c r="C293" i="22"/>
  <c r="AM293" i="22" s="1"/>
  <c r="C304" i="22"/>
  <c r="AM304" i="22" s="1"/>
  <c r="T193" i="10"/>
  <c r="D193" i="22"/>
  <c r="AN193" i="22" s="1"/>
  <c r="R196" i="10" s="1"/>
  <c r="D196" i="10" s="1"/>
  <c r="C302" i="22"/>
  <c r="AM302" i="22" s="1"/>
  <c r="T77" i="10"/>
  <c r="D74" i="22"/>
  <c r="AN74" i="22" s="1"/>
  <c r="C169" i="22"/>
  <c r="AM169" i="22" s="1"/>
  <c r="D292" i="22"/>
  <c r="AN292" i="22" s="1"/>
  <c r="D44" i="22"/>
  <c r="AN44" i="22" s="1"/>
  <c r="D189" i="22"/>
  <c r="AN189" i="22" s="1"/>
  <c r="C305" i="22"/>
  <c r="AM305" i="22" s="1"/>
  <c r="C113" i="22"/>
  <c r="AM113" i="22" s="1"/>
  <c r="C30" i="22"/>
  <c r="AM30" i="22" s="1"/>
  <c r="C303" i="22"/>
  <c r="AM303" i="22" s="1"/>
  <c r="D222" i="22"/>
  <c r="AN222" i="22" s="1"/>
  <c r="R224" i="10" s="1"/>
  <c r="D224" i="10" s="1"/>
  <c r="C60" i="22"/>
  <c r="AM60" i="22" s="1"/>
  <c r="C124" i="22"/>
  <c r="AM124" i="22" s="1"/>
  <c r="T69" i="10"/>
  <c r="D66" i="22"/>
  <c r="AN66" i="22" s="1"/>
  <c r="C173" i="22"/>
  <c r="AM173" i="22" s="1"/>
  <c r="C18" i="22"/>
  <c r="AM18" i="22" s="1"/>
  <c r="D160" i="22"/>
  <c r="AN160" i="22" s="1"/>
  <c r="C168" i="22"/>
  <c r="AM168" i="22" s="1"/>
  <c r="Q308" i="18"/>
  <c r="G310" i="22"/>
  <c r="AQ310" i="22" s="1"/>
  <c r="U313" i="10" s="1"/>
  <c r="C178" i="22"/>
  <c r="AM178" i="22" s="1"/>
  <c r="D225" i="22"/>
  <c r="AN225" i="22" s="1"/>
  <c r="C112" i="22"/>
  <c r="AM112" i="22" s="1"/>
  <c r="C107" i="22"/>
  <c r="AM107" i="22" s="1"/>
  <c r="C31" i="22"/>
  <c r="AM31" i="22" s="1"/>
  <c r="C129" i="22"/>
  <c r="AM129" i="22" s="1"/>
  <c r="C279" i="22"/>
  <c r="AM279" i="22" s="1"/>
  <c r="D248" i="22"/>
  <c r="AN248" i="22" s="1"/>
  <c r="C161" i="22"/>
  <c r="AM161" i="22" s="1"/>
  <c r="T290" i="10"/>
  <c r="D286" i="22"/>
  <c r="AN286" i="22" s="1"/>
  <c r="C68" i="22"/>
  <c r="AM68" i="22" s="1"/>
  <c r="C43" i="22"/>
  <c r="AM43" i="22" s="1"/>
  <c r="D229" i="22"/>
  <c r="AN229" i="22" s="1"/>
  <c r="C84" i="22"/>
  <c r="AM84" i="22" s="1"/>
  <c r="C222" i="22"/>
  <c r="AM222" i="22" s="1"/>
  <c r="G220" i="22"/>
  <c r="AQ220" i="22" s="1"/>
  <c r="U222" i="10" s="1"/>
  <c r="G206" i="22"/>
  <c r="AQ206" i="22" s="1"/>
  <c r="U209" i="10" s="1"/>
  <c r="G33" i="22"/>
  <c r="G61" i="22"/>
  <c r="G278" i="22"/>
  <c r="AQ278" i="22" s="1"/>
  <c r="U280" i="10" s="1"/>
  <c r="T208" i="10"/>
  <c r="T224" i="10"/>
  <c r="F224" i="10" s="1"/>
  <c r="G222" i="22"/>
  <c r="G302" i="22"/>
  <c r="G97" i="22"/>
  <c r="R239" i="10"/>
  <c r="D239" i="10" s="1"/>
  <c r="S239" i="10"/>
  <c r="E239" i="10" s="1"/>
  <c r="G239" i="10"/>
  <c r="T15" i="10"/>
  <c r="F15" i="10" s="1"/>
  <c r="G15" i="10"/>
  <c r="R225" i="10"/>
  <c r="D225" i="10" s="1"/>
  <c r="S317" i="10"/>
  <c r="E317" i="10" s="1"/>
  <c r="G317" i="10"/>
  <c r="R15" i="10"/>
  <c r="D15" i="10" s="1"/>
  <c r="S15" i="10"/>
  <c r="E15" i="10" s="1"/>
  <c r="R208" i="10"/>
  <c r="D208" i="10" s="1"/>
  <c r="T239" i="10"/>
  <c r="F239" i="10" s="1"/>
  <c r="R36" i="10"/>
  <c r="D36" i="10" s="1"/>
  <c r="R312" i="10"/>
  <c r="D312" i="10" s="1"/>
  <c r="R222" i="10"/>
  <c r="D222" i="10" s="1"/>
  <c r="R12" i="10"/>
  <c r="D12" i="10" s="1"/>
  <c r="G15" i="22"/>
  <c r="G163" i="22"/>
  <c r="AQ163" i="22" s="1"/>
  <c r="U166" i="10" s="1"/>
  <c r="G47" i="22"/>
  <c r="G182" i="22"/>
  <c r="AQ182" i="22" s="1"/>
  <c r="U185" i="10" s="1"/>
  <c r="G286" i="22"/>
  <c r="AQ286" i="22" s="1"/>
  <c r="U288" i="10" s="1"/>
  <c r="G41" i="22"/>
  <c r="G219" i="22"/>
  <c r="AQ219" i="22" s="1"/>
  <c r="U221" i="10" s="1"/>
  <c r="G189" i="22"/>
  <c r="AQ189" i="22" s="1"/>
  <c r="U192" i="10" s="1"/>
  <c r="G218" i="22"/>
  <c r="AQ218" i="22" s="1"/>
  <c r="U220" i="10" s="1"/>
  <c r="G263" i="22"/>
  <c r="AQ263" i="22" s="1"/>
  <c r="U265" i="10" s="1"/>
  <c r="G217" i="22"/>
  <c r="G157" i="22"/>
  <c r="AQ157" i="22" s="1"/>
  <c r="U160" i="10" s="1"/>
  <c r="G91" i="22"/>
  <c r="AQ91" i="22" s="1"/>
  <c r="U94" i="10" s="1"/>
  <c r="G45" i="22"/>
  <c r="G16" i="22"/>
  <c r="AQ16" i="22" s="1"/>
  <c r="U19" i="10" s="1"/>
  <c r="G81" i="22"/>
  <c r="G26" i="22"/>
  <c r="AQ26" i="22" s="1"/>
  <c r="U29" i="10" s="1"/>
  <c r="G87" i="22"/>
  <c r="AQ87" i="22" s="1"/>
  <c r="U90" i="10" s="1"/>
  <c r="G190" i="22"/>
  <c r="AQ190" i="22" s="1"/>
  <c r="U193" i="10" s="1"/>
  <c r="G203" i="22"/>
  <c r="G195" i="22"/>
  <c r="AQ195" i="22" s="1"/>
  <c r="U198" i="10" s="1"/>
  <c r="G131" i="22"/>
  <c r="AQ131" i="22" s="1"/>
  <c r="U134" i="10" s="1"/>
  <c r="G21" i="22"/>
  <c r="AQ21" i="22" s="1"/>
  <c r="U24" i="10" s="1"/>
  <c r="G161" i="22"/>
  <c r="G231" i="22"/>
  <c r="AQ231" i="22" s="1"/>
  <c r="U233" i="10" s="1"/>
  <c r="G258" i="22"/>
  <c r="G267" i="22"/>
  <c r="AQ267" i="22" s="1"/>
  <c r="U269" i="10" s="1"/>
  <c r="G179" i="22"/>
  <c r="AQ179" i="22" s="1"/>
  <c r="U182" i="10" s="1"/>
  <c r="G89" i="22"/>
  <c r="G144" i="22"/>
  <c r="G136" i="22"/>
  <c r="AQ136" i="22" s="1"/>
  <c r="U139" i="10" s="1"/>
  <c r="G86" i="22"/>
  <c r="AQ86" i="22" s="1"/>
  <c r="U89" i="10" s="1"/>
  <c r="G208" i="22"/>
  <c r="AQ208" i="22" s="1"/>
  <c r="U211" i="10" s="1"/>
  <c r="G294" i="22"/>
  <c r="AQ294" i="22" s="1"/>
  <c r="U296" i="10" s="1"/>
  <c r="G169" i="22"/>
  <c r="G227" i="22"/>
  <c r="AQ227" i="22" s="1"/>
  <c r="U229" i="10" s="1"/>
  <c r="G239" i="22"/>
  <c r="AQ239" i="22" s="1"/>
  <c r="U241" i="10" s="1"/>
  <c r="G296" i="22"/>
  <c r="AQ296" i="22" s="1"/>
  <c r="U298" i="10" s="1"/>
  <c r="G50" i="22"/>
  <c r="G59" i="22"/>
  <c r="AQ59" i="22" s="1"/>
  <c r="U62" i="10" s="1"/>
  <c r="G181" i="22"/>
  <c r="AQ181" i="22" s="1"/>
  <c r="U184" i="10" s="1"/>
  <c r="G277" i="22"/>
  <c r="AQ277" i="22" s="1"/>
  <c r="U279" i="10" s="1"/>
  <c r="G117" i="22"/>
  <c r="AQ117" i="22" s="1"/>
  <c r="U120" i="10" s="1"/>
  <c r="G52" i="22"/>
  <c r="G246" i="22"/>
  <c r="AQ246" i="22" s="1"/>
  <c r="U248" i="10" s="1"/>
  <c r="G93" i="22"/>
  <c r="AQ93" i="22" s="1"/>
  <c r="U96" i="10" s="1"/>
  <c r="G291" i="22"/>
  <c r="G280" i="22"/>
  <c r="G40" i="22"/>
  <c r="AQ40" i="22" s="1"/>
  <c r="U43" i="10" s="1"/>
  <c r="G69" i="22"/>
  <c r="G35" i="22"/>
  <c r="G266" i="22"/>
  <c r="G151" i="22"/>
  <c r="G251" i="22"/>
  <c r="G165" i="22"/>
  <c r="AQ165" i="22" s="1"/>
  <c r="U168" i="10" s="1"/>
  <c r="G147" i="22"/>
  <c r="AQ147" i="22" s="1"/>
  <c r="U149" i="10" s="1"/>
  <c r="G118" i="22"/>
  <c r="G112" i="22"/>
  <c r="AQ112" i="22" s="1"/>
  <c r="U115" i="10" s="1"/>
  <c r="G107" i="22"/>
  <c r="AQ107" i="22" s="1"/>
  <c r="U111" i="10" s="1"/>
  <c r="G76" i="22"/>
  <c r="AQ76" i="22" s="1"/>
  <c r="U79" i="10" s="1"/>
  <c r="G101" i="22"/>
  <c r="AQ101" i="22" s="1"/>
  <c r="U104" i="10" s="1"/>
  <c r="G299" i="22"/>
  <c r="AQ299" i="22" s="1"/>
  <c r="U301" i="10" s="1"/>
  <c r="G149" i="22"/>
  <c r="G75" i="22"/>
  <c r="G158" i="22"/>
  <c r="G133" i="22"/>
  <c r="AQ133" i="22" s="1"/>
  <c r="U136" i="10" s="1"/>
  <c r="G177" i="22"/>
  <c r="G249" i="22"/>
  <c r="AQ249" i="22" s="1"/>
  <c r="U251" i="10" s="1"/>
  <c r="G134" i="22"/>
  <c r="AQ134" i="22" s="1"/>
  <c r="U137" i="10" s="1"/>
  <c r="G229" i="22"/>
  <c r="G12" i="22"/>
  <c r="G172" i="22"/>
  <c r="G226" i="22"/>
  <c r="AQ226" i="22" s="1"/>
  <c r="U228" i="10" s="1"/>
  <c r="G174" i="22"/>
  <c r="G132" i="22"/>
  <c r="AQ132" i="22" s="1"/>
  <c r="U135" i="10" s="1"/>
  <c r="G289" i="22"/>
  <c r="G56" i="22"/>
  <c r="AQ56" i="22" s="1"/>
  <c r="U59" i="10" s="1"/>
  <c r="G207" i="22"/>
  <c r="G297" i="22"/>
  <c r="G309" i="22"/>
  <c r="G167" i="22"/>
  <c r="G38" i="22"/>
  <c r="G262" i="22"/>
  <c r="G234" i="22"/>
  <c r="AQ234" i="22" s="1"/>
  <c r="U236" i="10" s="1"/>
  <c r="G98" i="22"/>
  <c r="G62" i="22"/>
  <c r="G170" i="22"/>
  <c r="G212" i="22"/>
  <c r="AQ212" i="22" s="1"/>
  <c r="U214" i="10" s="1"/>
  <c r="G215" i="22"/>
  <c r="AQ215" i="22" s="1"/>
  <c r="U217" i="10" s="1"/>
  <c r="G261" i="22"/>
  <c r="G268" i="22"/>
  <c r="G288" i="22"/>
  <c r="AQ288" i="22" s="1"/>
  <c r="U290" i="10" s="1"/>
  <c r="G123" i="22"/>
  <c r="AQ123" i="22" s="1"/>
  <c r="U126" i="10" s="1"/>
  <c r="G95" i="22"/>
  <c r="AQ95" i="22" s="1"/>
  <c r="U98" i="10" s="1"/>
  <c r="G11" i="22"/>
  <c r="G90" i="22"/>
  <c r="G100" i="22"/>
  <c r="AQ100" i="22" s="1"/>
  <c r="U103" i="10" s="1"/>
  <c r="G110" i="22"/>
  <c r="AQ110" i="22" s="1"/>
  <c r="U113" i="10" s="1"/>
  <c r="G301" i="22"/>
  <c r="AQ301" i="22" s="1"/>
  <c r="U303" i="10" s="1"/>
  <c r="G120" i="22"/>
  <c r="G105" i="22"/>
  <c r="AQ105" i="22" s="1"/>
  <c r="U108" i="10" s="1"/>
  <c r="G194" i="22"/>
  <c r="AQ194" i="22" s="1"/>
  <c r="U197" i="10" s="1"/>
  <c r="G126" i="22"/>
  <c r="AQ126" i="22" s="1"/>
  <c r="U129" i="10" s="1"/>
  <c r="G250" i="22"/>
  <c r="AQ250" i="22" s="1"/>
  <c r="U252" i="10" s="1"/>
  <c r="G270" i="22"/>
  <c r="G298" i="22"/>
  <c r="G198" i="22"/>
  <c r="AQ198" i="22" s="1"/>
  <c r="U200" i="10" s="1"/>
  <c r="G282" i="22"/>
  <c r="AQ282" i="22" s="1"/>
  <c r="U284" i="10" s="1"/>
  <c r="G238" i="22"/>
  <c r="AQ238" i="22" s="1"/>
  <c r="U240" i="10" s="1"/>
  <c r="G273" i="22"/>
  <c r="AQ273" i="22" s="1"/>
  <c r="U275" i="10" s="1"/>
  <c r="G253" i="22"/>
  <c r="AQ253" i="22" s="1"/>
  <c r="U255" i="10" s="1"/>
  <c r="G142" i="22"/>
  <c r="G28" i="22"/>
  <c r="G23" i="22"/>
  <c r="AQ23" i="22" s="1"/>
  <c r="U26" i="10" s="1"/>
  <c r="G29" i="22"/>
  <c r="G119" i="22"/>
  <c r="G17" i="22"/>
  <c r="G74" i="22"/>
  <c r="G171" i="22"/>
  <c r="G292" i="22"/>
  <c r="G256" i="22"/>
  <c r="AQ256" i="22" s="1"/>
  <c r="U258" i="10" s="1"/>
  <c r="G88" i="22"/>
  <c r="G271" i="22"/>
  <c r="AQ271" i="22" s="1"/>
  <c r="U273" i="10" s="1"/>
  <c r="G205" i="22"/>
  <c r="AQ205" i="22" s="1"/>
  <c r="U207" i="10" s="1"/>
  <c r="G247" i="22"/>
  <c r="G210" i="22"/>
  <c r="AQ210" i="22" s="1"/>
  <c r="U212" i="10" s="1"/>
  <c r="G184" i="22"/>
  <c r="AQ184" i="22" s="1"/>
  <c r="U187" i="10" s="1"/>
  <c r="G272" i="22"/>
  <c r="AQ272" i="22" s="1"/>
  <c r="U274" i="10" s="1"/>
  <c r="G129" i="22"/>
  <c r="AQ129" i="22" s="1"/>
  <c r="U132" i="10" s="1"/>
  <c r="G287" i="22"/>
  <c r="AQ287" i="22" s="1"/>
  <c r="U289" i="10" s="1"/>
  <c r="G113" i="22"/>
  <c r="G241" i="22"/>
  <c r="AQ241" i="22" s="1"/>
  <c r="U243" i="10" s="1"/>
  <c r="G71" i="22"/>
  <c r="AQ71" i="22" s="1"/>
  <c r="U74" i="10" s="1"/>
  <c r="G64" i="22"/>
  <c r="AQ64" i="22" s="1"/>
  <c r="U67" i="10" s="1"/>
  <c r="G196" i="22"/>
  <c r="AQ196" i="22" s="1"/>
  <c r="U158" i="10" s="1"/>
  <c r="G92" i="22"/>
  <c r="G232" i="22"/>
  <c r="AQ232" i="22" s="1"/>
  <c r="U234" i="10" s="1"/>
  <c r="G57" i="22"/>
  <c r="AQ57" i="22" s="1"/>
  <c r="U60" i="10" s="1"/>
  <c r="G185" i="22"/>
  <c r="AQ185" i="22" s="1"/>
  <c r="U188" i="10" s="1"/>
  <c r="G306" i="22"/>
  <c r="G154" i="22"/>
  <c r="AQ154" i="22" s="1"/>
  <c r="U156" i="10" s="1"/>
  <c r="G176" i="22"/>
  <c r="AQ176" i="22" s="1"/>
  <c r="U179" i="10" s="1"/>
  <c r="G275" i="22"/>
  <c r="AQ275" i="22" s="1"/>
  <c r="U277" i="10" s="1"/>
  <c r="G311" i="22"/>
  <c r="AQ311" i="22" s="1"/>
  <c r="U309" i="10" s="1"/>
  <c r="G83" i="22"/>
  <c r="AQ83" i="22" s="1"/>
  <c r="U86" i="10" s="1"/>
  <c r="G140" i="22"/>
  <c r="AQ140" i="22" s="1"/>
  <c r="U142" i="10" s="1"/>
  <c r="G201" i="22"/>
  <c r="AQ201" i="22" s="1"/>
  <c r="U203" i="10" s="1"/>
  <c r="G99" i="22"/>
  <c r="AQ99" i="22" s="1"/>
  <c r="U102" i="10" s="1"/>
  <c r="G51" i="22"/>
  <c r="G70" i="22"/>
  <c r="AQ70" i="22" s="1"/>
  <c r="U73" i="10" s="1"/>
  <c r="G60" i="22"/>
  <c r="AQ60" i="22" s="1"/>
  <c r="U63" i="10" s="1"/>
  <c r="G248" i="22"/>
  <c r="G124" i="22"/>
  <c r="G269" i="22"/>
  <c r="AQ269" i="22" s="1"/>
  <c r="U271" i="10" s="1"/>
  <c r="G255" i="22"/>
  <c r="G265" i="22"/>
  <c r="AQ265" i="22" s="1"/>
  <c r="U267" i="10" s="1"/>
  <c r="G55" i="22"/>
  <c r="AQ55" i="22" s="1"/>
  <c r="U58" i="10" s="1"/>
  <c r="G46" i="22"/>
  <c r="G138" i="22"/>
  <c r="G225" i="22"/>
  <c r="G22" i="22"/>
  <c r="AQ22" i="22" s="1"/>
  <c r="U25" i="10" s="1"/>
  <c r="G235" i="22"/>
  <c r="AQ235" i="22" s="1"/>
  <c r="U237" i="10" s="1"/>
  <c r="G73" i="22"/>
  <c r="AQ73" i="22" s="1"/>
  <c r="U76" i="10" s="1"/>
  <c r="G145" i="22"/>
  <c r="AQ145" i="22" s="1"/>
  <c r="U147" i="10" s="1"/>
  <c r="G259" i="22"/>
  <c r="AQ259" i="22" s="1"/>
  <c r="U261" i="10" s="1"/>
  <c r="G103" i="22"/>
  <c r="G155" i="22"/>
  <c r="AQ155" i="22" s="1"/>
  <c r="U157" i="10" s="1"/>
  <c r="G139" i="22"/>
  <c r="G186" i="22"/>
  <c r="AQ186" i="22" s="1"/>
  <c r="U189" i="10" s="1"/>
  <c r="G279" i="22"/>
  <c r="AQ279" i="22" s="1"/>
  <c r="U281" i="10" s="1"/>
  <c r="G304" i="22"/>
  <c r="G36" i="22"/>
  <c r="G114" i="22"/>
  <c r="AQ114" i="22" s="1"/>
  <c r="U117" i="10" s="1"/>
  <c r="G193" i="22"/>
  <c r="AQ193" i="22" s="1"/>
  <c r="U196" i="10" s="1"/>
  <c r="G276" i="22"/>
  <c r="G66" i="22"/>
  <c r="AQ66" i="22" s="1"/>
  <c r="U69" i="10" s="1"/>
  <c r="G290" i="22"/>
  <c r="G130" i="22"/>
  <c r="G128" i="22"/>
  <c r="G65" i="22"/>
  <c r="G224" i="22"/>
  <c r="AQ224" i="22" s="1"/>
  <c r="U226" i="10" s="1"/>
  <c r="G243" i="22"/>
  <c r="G254" i="22"/>
  <c r="AQ254" i="22" s="1"/>
  <c r="U256" i="10" s="1"/>
  <c r="G187" i="22"/>
  <c r="AQ187" i="22" s="1"/>
  <c r="U190" i="10" s="1"/>
  <c r="G96" i="22"/>
  <c r="AQ96" i="22" s="1"/>
  <c r="U99" i="10" s="1"/>
  <c r="G191" i="22"/>
  <c r="AQ191" i="22" s="1"/>
  <c r="U194" i="10" s="1"/>
  <c r="G152" i="22"/>
  <c r="G233" i="22"/>
  <c r="G214" i="22"/>
  <c r="AQ214" i="22" s="1"/>
  <c r="U216" i="10" s="1"/>
  <c r="G283" i="22"/>
  <c r="G242" i="22"/>
  <c r="AQ242" i="22" s="1"/>
  <c r="U244" i="10" s="1"/>
  <c r="G305" i="22"/>
  <c r="AQ305" i="22" s="1"/>
  <c r="U307" i="10" s="1"/>
  <c r="G200" i="22"/>
  <c r="AQ200" i="22" s="1"/>
  <c r="U202" i="10" s="1"/>
  <c r="G135" i="22"/>
  <c r="AQ135" i="22" s="1"/>
  <c r="U138" i="10" s="1"/>
  <c r="G53" i="22"/>
  <c r="G216" i="22"/>
  <c r="G274" i="22"/>
  <c r="G79" i="22"/>
  <c r="AQ79" i="22" s="1"/>
  <c r="U82" i="10" s="1"/>
  <c r="G102" i="22"/>
  <c r="AQ102" i="22" s="1"/>
  <c r="U105" i="10" s="1"/>
  <c r="G31" i="22"/>
  <c r="G54" i="22"/>
  <c r="AQ54" i="22" s="1"/>
  <c r="U57" i="10" s="1"/>
  <c r="G285" i="22"/>
  <c r="G39" i="22"/>
  <c r="AQ39" i="22" s="1"/>
  <c r="U42" i="10" s="1"/>
  <c r="G63" i="22"/>
  <c r="G160" i="22"/>
  <c r="G48" i="22"/>
  <c r="AQ48" i="22" s="1"/>
  <c r="U51" i="10" s="1"/>
  <c r="G146" i="22"/>
  <c r="G84" i="22"/>
  <c r="AQ84" i="22" s="1"/>
  <c r="U87" i="10" s="1"/>
  <c r="G230" i="22"/>
  <c r="G221" i="22"/>
  <c r="AQ221" i="22" s="1"/>
  <c r="U223" i="10" s="1"/>
  <c r="G252" i="22"/>
  <c r="G202" i="22"/>
  <c r="AQ202" i="22" s="1"/>
  <c r="U204" i="10" s="1"/>
  <c r="G197" i="22"/>
  <c r="G245" i="22"/>
  <c r="G121" i="22"/>
  <c r="G137" i="22"/>
  <c r="AQ137" i="22" s="1"/>
  <c r="U140" i="10" s="1"/>
  <c r="G211" i="22"/>
  <c r="G43" i="22"/>
  <c r="AQ43" i="22" s="1"/>
  <c r="U46" i="10" s="1"/>
  <c r="G80" i="22"/>
  <c r="G34" i="22"/>
  <c r="G141" i="22"/>
  <c r="G240" i="22"/>
  <c r="G115" i="22"/>
  <c r="AQ115" i="22" s="1"/>
  <c r="U118" i="10" s="1"/>
  <c r="G236" i="22"/>
  <c r="AQ236" i="22" s="1"/>
  <c r="U238" i="10" s="1"/>
  <c r="G68" i="22"/>
  <c r="G94" i="22"/>
  <c r="AQ94" i="22" s="1"/>
  <c r="U97" i="10" s="1"/>
  <c r="G20" i="22"/>
  <c r="AQ20" i="22" s="1"/>
  <c r="U23" i="10" s="1"/>
  <c r="G204" i="22"/>
  <c r="AQ204" i="22" s="1"/>
  <c r="U206" i="10" s="1"/>
  <c r="G148" i="22"/>
  <c r="G37" i="22"/>
  <c r="G104" i="22"/>
  <c r="AQ104" i="22" s="1"/>
  <c r="U107" i="10" s="1"/>
  <c r="G150" i="22"/>
  <c r="AQ150" i="22" s="1"/>
  <c r="U152" i="10" s="1"/>
  <c r="G27" i="22"/>
  <c r="G199" i="22"/>
  <c r="G156" i="22"/>
  <c r="AQ156" i="22" s="1"/>
  <c r="U159" i="10" s="1"/>
  <c r="G228" i="22"/>
  <c r="AQ228" i="22" s="1"/>
  <c r="U230" i="10" s="1"/>
  <c r="G116" i="22"/>
  <c r="G14" i="22"/>
  <c r="G173" i="22"/>
  <c r="AQ173" i="22" s="1"/>
  <c r="U176" i="10" s="1"/>
  <c r="G25" i="22"/>
  <c r="AQ25" i="22" s="1"/>
  <c r="U28" i="10" s="1"/>
  <c r="G213" i="22"/>
  <c r="AQ213" i="22" s="1"/>
  <c r="U215" i="10" s="1"/>
  <c r="G72" i="22"/>
  <c r="G178" i="22"/>
  <c r="G164" i="22"/>
  <c r="AQ164" i="22" s="1"/>
  <c r="U167" i="10" s="1"/>
  <c r="G18" i="22"/>
  <c r="G127" i="22"/>
  <c r="G281" i="22"/>
  <c r="G42" i="22"/>
  <c r="G109" i="22"/>
  <c r="AQ109" i="22" s="1"/>
  <c r="U112" i="10" s="1"/>
  <c r="G300" i="22"/>
  <c r="AQ300" i="22" s="1"/>
  <c r="U302" i="10" s="1"/>
  <c r="G293" i="22"/>
  <c r="G303" i="22"/>
  <c r="G125" i="22"/>
  <c r="G183" i="22"/>
  <c r="G168" i="22"/>
  <c r="G108" i="22"/>
  <c r="G153" i="22"/>
  <c r="G260" i="22"/>
  <c r="AQ260" i="22" s="1"/>
  <c r="U262" i="10" s="1"/>
  <c r="G19" i="22"/>
  <c r="G44" i="22"/>
  <c r="G308" i="22"/>
  <c r="G264" i="22"/>
  <c r="AQ264" i="22" s="1"/>
  <c r="U266" i="10" s="1"/>
  <c r="G24" i="22"/>
  <c r="G284" i="22"/>
  <c r="G85" i="22"/>
  <c r="G180" i="22"/>
  <c r="G111" i="22"/>
  <c r="G175" i="22"/>
  <c r="G30" i="22"/>
  <c r="G78" i="22"/>
  <c r="AQ78" i="22" s="1"/>
  <c r="U81" i="10" s="1"/>
  <c r="G77" i="22"/>
  <c r="AQ77" i="22" s="1"/>
  <c r="U80" i="10" s="1"/>
  <c r="G257" i="22"/>
  <c r="AQ257" i="22" s="1"/>
  <c r="U259" i="10" s="1"/>
  <c r="G49" i="22"/>
  <c r="G159" i="22"/>
  <c r="G162" i="22"/>
  <c r="G82" i="22"/>
  <c r="Q234" i="18"/>
  <c r="T227" i="10"/>
  <c r="D317" i="10"/>
  <c r="T250" i="10"/>
  <c r="T207" i="10"/>
  <c r="T269" i="10"/>
  <c r="T146" i="10"/>
  <c r="T228" i="10"/>
  <c r="T163" i="10"/>
  <c r="T221" i="10"/>
  <c r="T231" i="10"/>
  <c r="T275" i="10"/>
  <c r="T16" i="10"/>
  <c r="T289" i="10"/>
  <c r="T219" i="10"/>
  <c r="T111" i="10"/>
  <c r="T188" i="10"/>
  <c r="T165" i="10"/>
  <c r="T280" i="10"/>
  <c r="T88" i="10"/>
  <c r="T283" i="10"/>
  <c r="T301" i="10"/>
  <c r="T307" i="10"/>
  <c r="T20" i="10"/>
  <c r="T71" i="10"/>
  <c r="T101" i="10"/>
  <c r="T178" i="10"/>
  <c r="T98" i="10"/>
  <c r="T147" i="10"/>
  <c r="T73" i="10"/>
  <c r="R211" i="10"/>
  <c r="T183" i="10"/>
  <c r="T143" i="10"/>
  <c r="T309" i="10"/>
  <c r="T286" i="10"/>
  <c r="T118" i="10"/>
  <c r="T211" i="10"/>
  <c r="T62" i="10"/>
  <c r="T128" i="10"/>
  <c r="T57" i="10"/>
  <c r="T171" i="10"/>
  <c r="T192" i="10"/>
  <c r="T296" i="10"/>
  <c r="T47" i="10"/>
  <c r="T65" i="10"/>
  <c r="T173" i="10"/>
  <c r="T104" i="10"/>
  <c r="T305" i="10"/>
  <c r="T106" i="10"/>
  <c r="T26" i="10"/>
  <c r="T291" i="10"/>
  <c r="T48" i="10"/>
  <c r="T114" i="10"/>
  <c r="T294" i="10"/>
  <c r="T92" i="10"/>
  <c r="T51" i="10"/>
  <c r="T156" i="10"/>
  <c r="T199" i="10"/>
  <c r="T214" i="10"/>
  <c r="T175" i="10"/>
  <c r="T55" i="10"/>
  <c r="T218" i="10"/>
  <c r="T70" i="10"/>
  <c r="T158" i="10"/>
  <c r="T194" i="10"/>
  <c r="T263" i="10"/>
  <c r="T83" i="10"/>
  <c r="T21" i="10"/>
  <c r="T43" i="10"/>
  <c r="T166" i="10"/>
  <c r="T164" i="10"/>
  <c r="T74" i="10"/>
  <c r="T210" i="10"/>
  <c r="T131" i="10"/>
  <c r="T295" i="10"/>
  <c r="T59" i="10"/>
  <c r="T274" i="10"/>
  <c r="T230" i="10"/>
  <c r="T298" i="10"/>
  <c r="T150" i="10"/>
  <c r="T314" i="10"/>
  <c r="T68" i="10"/>
  <c r="T66" i="10"/>
  <c r="T61" i="10"/>
  <c r="T182" i="10"/>
  <c r="T117" i="10"/>
  <c r="T288" i="10"/>
  <c r="T95" i="10"/>
  <c r="T33" i="10"/>
  <c r="T198" i="10"/>
  <c r="T190" i="10"/>
  <c r="T130" i="10"/>
  <c r="T216" i="10"/>
  <c r="T126" i="10"/>
  <c r="T45" i="10"/>
  <c r="T282" i="10"/>
  <c r="T185" i="10"/>
  <c r="T78" i="10"/>
  <c r="T58" i="10"/>
  <c r="T292" i="10"/>
  <c r="T145" i="10"/>
  <c r="T302" i="10"/>
  <c r="T149" i="10"/>
  <c r="T44" i="10"/>
  <c r="T31" i="10"/>
  <c r="T80" i="10"/>
  <c r="T41" i="10"/>
  <c r="T184" i="10"/>
  <c r="T56" i="10"/>
  <c r="T281" i="10"/>
  <c r="T39" i="10"/>
  <c r="T243" i="10"/>
  <c r="T54" i="10"/>
  <c r="T60" i="10"/>
  <c r="T237" i="10"/>
  <c r="T52" i="10"/>
  <c r="T64" i="10"/>
  <c r="T105" i="10"/>
  <c r="T220" i="10"/>
  <c r="T168" i="10"/>
  <c r="T87" i="10"/>
  <c r="T293" i="10"/>
  <c r="T201" i="10"/>
  <c r="T121" i="10"/>
  <c r="T167" i="10"/>
  <c r="T234" i="10"/>
  <c r="T127" i="10"/>
  <c r="T202" i="10"/>
  <c r="T86" i="10"/>
  <c r="T81" i="10"/>
  <c r="T306" i="10"/>
  <c r="T284" i="10"/>
  <c r="T140" i="10"/>
  <c r="T255" i="10"/>
  <c r="T136" i="10"/>
  <c r="T278" i="10"/>
  <c r="T267" i="10"/>
  <c r="T134" i="10"/>
  <c r="T253" i="10"/>
  <c r="T28" i="10"/>
  <c r="T102" i="10"/>
  <c r="T132" i="10"/>
  <c r="T119" i="10"/>
  <c r="T186" i="10"/>
  <c r="T271" i="10"/>
  <c r="T249" i="10"/>
  <c r="T310" i="10"/>
  <c r="T256" i="10"/>
  <c r="T97" i="10"/>
  <c r="Q312" i="10"/>
  <c r="T195" i="10"/>
  <c r="T203" i="10"/>
  <c r="T189" i="10"/>
  <c r="T109" i="10"/>
  <c r="T242" i="10"/>
  <c r="T42" i="10"/>
  <c r="T157" i="10"/>
  <c r="T316" i="10"/>
  <c r="T213" i="10"/>
  <c r="T299" i="10"/>
  <c r="T29" i="10"/>
  <c r="T236" i="10"/>
  <c r="T233" i="10"/>
  <c r="T315" i="10"/>
  <c r="T258" i="10"/>
  <c r="T122" i="10"/>
  <c r="T232" i="10"/>
  <c r="T91" i="10"/>
  <c r="T151" i="10"/>
  <c r="T215" i="10"/>
  <c r="T277" i="10"/>
  <c r="T155" i="10"/>
  <c r="T311" i="10"/>
  <c r="T120" i="10"/>
  <c r="T133" i="10"/>
  <c r="T176" i="10"/>
  <c r="T308" i="10"/>
  <c r="T241" i="10"/>
  <c r="T174" i="10"/>
  <c r="T273" i="10"/>
  <c r="T72" i="10"/>
  <c r="T170" i="10"/>
  <c r="T287" i="10"/>
  <c r="T206" i="10"/>
  <c r="T247" i="10"/>
  <c r="Q318" i="10"/>
  <c r="T99" i="10"/>
  <c r="T238" i="10"/>
  <c r="T108" i="10"/>
  <c r="T76" i="10"/>
  <c r="T297" i="10"/>
  <c r="T125" i="10"/>
  <c r="T270" i="10"/>
  <c r="T100" i="10"/>
  <c r="T23" i="10"/>
  <c r="T124" i="10"/>
  <c r="T261" i="10"/>
  <c r="T115" i="10"/>
  <c r="T24" i="10"/>
  <c r="T152" i="10"/>
  <c r="Q315" i="10"/>
  <c r="T179" i="10"/>
  <c r="T32" i="10"/>
  <c r="T257" i="10"/>
  <c r="T96" i="10"/>
  <c r="T268" i="10"/>
  <c r="T318" i="10"/>
  <c r="T19" i="10"/>
  <c r="T259" i="10"/>
  <c r="T248" i="10"/>
  <c r="T107" i="10"/>
  <c r="T79" i="10"/>
  <c r="T85" i="10"/>
  <c r="T40" i="10"/>
  <c r="T25" i="10"/>
  <c r="T154" i="10"/>
  <c r="T180" i="10"/>
  <c r="T161" i="10"/>
  <c r="T14" i="10"/>
  <c r="T93" i="10"/>
  <c r="T279" i="10"/>
  <c r="T276" i="10"/>
  <c r="T63" i="10"/>
  <c r="T144" i="10"/>
  <c r="T82" i="10"/>
  <c r="T181" i="10"/>
  <c r="T49" i="10"/>
  <c r="T153" i="10"/>
  <c r="T212" i="10"/>
  <c r="T240" i="10"/>
  <c r="T223" i="10"/>
  <c r="T135" i="10"/>
  <c r="T123" i="10"/>
  <c r="T138" i="10"/>
  <c r="T262" i="10"/>
  <c r="T116" i="10"/>
  <c r="T53" i="10"/>
  <c r="T172" i="10"/>
  <c r="T90" i="10"/>
  <c r="T200" i="10"/>
  <c r="T265" i="10"/>
  <c r="T169" i="10"/>
  <c r="T205" i="10"/>
  <c r="T103" i="10"/>
  <c r="T303" i="10"/>
  <c r="T304" i="10"/>
  <c r="T160" i="10"/>
  <c r="T34" i="10"/>
  <c r="T46" i="10"/>
  <c r="T30" i="10"/>
  <c r="T244" i="10"/>
  <c r="T113" i="10"/>
  <c r="T245" i="10"/>
  <c r="T38" i="10"/>
  <c r="T285" i="10"/>
  <c r="T264" i="10"/>
  <c r="T191" i="10"/>
  <c r="T142" i="10"/>
  <c r="T141" i="10"/>
  <c r="T272" i="10"/>
  <c r="T11" i="10"/>
  <c r="T148" i="10"/>
  <c r="T22" i="10"/>
  <c r="T67" i="10"/>
  <c r="T204" i="10"/>
  <c r="T84" i="10"/>
  <c r="T139" i="10"/>
  <c r="T177" i="10"/>
  <c r="T187" i="10"/>
  <c r="T94" i="10"/>
  <c r="T50" i="10"/>
  <c r="T313" i="10"/>
  <c r="T209" i="10"/>
  <c r="T197" i="10"/>
  <c r="T75" i="10"/>
  <c r="T260" i="10"/>
  <c r="T17" i="10"/>
  <c r="T217" i="10"/>
  <c r="T18" i="10"/>
  <c r="T229" i="10"/>
  <c r="T226" i="10"/>
  <c r="T235" i="10"/>
  <c r="T89" i="10"/>
  <c r="T27" i="10"/>
  <c r="T35" i="10"/>
  <c r="T129" i="10"/>
  <c r="T159" i="10"/>
  <c r="T162" i="10"/>
  <c r="Q7" i="18"/>
  <c r="F12" i="10"/>
  <c r="Q204" i="18"/>
  <c r="Q220" i="18"/>
  <c r="Q30" i="18"/>
  <c r="Q219" i="18"/>
  <c r="Q186" i="18"/>
  <c r="Q275" i="18"/>
  <c r="Q292" i="18"/>
  <c r="Q31" i="18"/>
  <c r="Q217" i="18"/>
  <c r="Q120" i="18"/>
  <c r="H313" i="18"/>
  <c r="AM324" i="22" l="1"/>
  <c r="AQ169" i="22"/>
  <c r="U172" i="10" s="1"/>
  <c r="AQ14" i="22"/>
  <c r="U16" i="10" s="1"/>
  <c r="AQ245" i="22"/>
  <c r="U247" i="10" s="1"/>
  <c r="AQ285" i="22"/>
  <c r="U287" i="10" s="1"/>
  <c r="AQ283" i="22"/>
  <c r="U285" i="10" s="1"/>
  <c r="AQ130" i="22"/>
  <c r="U133" i="10" s="1"/>
  <c r="AQ103" i="22"/>
  <c r="U106" i="10" s="1"/>
  <c r="AQ74" i="22"/>
  <c r="U77" i="10" s="1"/>
  <c r="AQ298" i="22"/>
  <c r="U300" i="10" s="1"/>
  <c r="AQ38" i="22"/>
  <c r="U41" i="10" s="1"/>
  <c r="AQ229" i="22"/>
  <c r="U231" i="10" s="1"/>
  <c r="AQ293" i="22"/>
  <c r="U295" i="10" s="1"/>
  <c r="AQ291" i="22"/>
  <c r="U293" i="10" s="1"/>
  <c r="AQ217" i="22"/>
  <c r="U219" i="10" s="1"/>
  <c r="G219" i="10" s="1"/>
  <c r="AQ159" i="22"/>
  <c r="U162" i="10" s="1"/>
  <c r="AQ49" i="22"/>
  <c r="U52" i="10" s="1"/>
  <c r="AQ308" i="22"/>
  <c r="U311" i="10" s="1"/>
  <c r="AQ116" i="22"/>
  <c r="U119" i="10" s="1"/>
  <c r="AQ68" i="22"/>
  <c r="U71" i="10" s="1"/>
  <c r="AQ197" i="22"/>
  <c r="U199" i="10" s="1"/>
  <c r="AQ290" i="22"/>
  <c r="U292" i="10" s="1"/>
  <c r="AQ124" i="22"/>
  <c r="U127" i="10" s="1"/>
  <c r="AQ17" i="22"/>
  <c r="U20" i="10" s="1"/>
  <c r="AQ270" i="22"/>
  <c r="U272" i="10" s="1"/>
  <c r="AQ167" i="22"/>
  <c r="U170" i="10" s="1"/>
  <c r="AQ118" i="22"/>
  <c r="U121" i="10" s="1"/>
  <c r="AQ61" i="22"/>
  <c r="U64" i="10" s="1"/>
  <c r="AQ113" i="22"/>
  <c r="U116" i="10" s="1"/>
  <c r="AQ248" i="22"/>
  <c r="U250" i="10" s="1"/>
  <c r="AQ306" i="22"/>
  <c r="U308" i="10" s="1"/>
  <c r="AQ119" i="22"/>
  <c r="U122" i="10" s="1"/>
  <c r="AQ52" i="22"/>
  <c r="U55" i="10" s="1"/>
  <c r="AQ203" i="22"/>
  <c r="U205" i="10" s="1"/>
  <c r="AQ24" i="22"/>
  <c r="U27" i="10" s="1"/>
  <c r="AQ262" i="22"/>
  <c r="U264" i="10" s="1"/>
  <c r="AQ19" i="22"/>
  <c r="U22" i="10" s="1"/>
  <c r="AQ281" i="22"/>
  <c r="U283" i="10" s="1"/>
  <c r="AQ252" i="22"/>
  <c r="U254" i="10" s="1"/>
  <c r="AQ152" i="22"/>
  <c r="U154" i="10" s="1"/>
  <c r="AQ276" i="22"/>
  <c r="U278" i="10" s="1"/>
  <c r="AQ29" i="22"/>
  <c r="U32" i="10" s="1"/>
  <c r="AQ268" i="22"/>
  <c r="U270" i="10" s="1"/>
  <c r="AQ297" i="22"/>
  <c r="U299" i="10" s="1"/>
  <c r="AQ177" i="22"/>
  <c r="U180" i="10" s="1"/>
  <c r="AQ33" i="22"/>
  <c r="U36" i="10" s="1"/>
  <c r="G36" i="10" s="1"/>
  <c r="AQ127" i="22"/>
  <c r="U130" i="10" s="1"/>
  <c r="AQ199" i="22"/>
  <c r="U201" i="10" s="1"/>
  <c r="AQ240" i="22"/>
  <c r="U242" i="10" s="1"/>
  <c r="AQ261" i="22"/>
  <c r="U263" i="10" s="1"/>
  <c r="AQ207" i="22"/>
  <c r="U210" i="10" s="1"/>
  <c r="AQ251" i="22"/>
  <c r="U253" i="10" s="1"/>
  <c r="AQ144" i="22"/>
  <c r="U146" i="10" s="1"/>
  <c r="AQ41" i="22"/>
  <c r="U44" i="10" s="1"/>
  <c r="AQ12" i="22"/>
  <c r="U14" i="10" s="1"/>
  <c r="AQ42" i="22"/>
  <c r="U45" i="10" s="1"/>
  <c r="AQ30" i="22"/>
  <c r="U33" i="10" s="1"/>
  <c r="AQ153" i="22"/>
  <c r="U155" i="10" s="1"/>
  <c r="AQ18" i="22"/>
  <c r="U21" i="10" s="1"/>
  <c r="AQ27" i="22"/>
  <c r="U30" i="10" s="1"/>
  <c r="AQ141" i="22"/>
  <c r="U143" i="10" s="1"/>
  <c r="AQ230" i="22"/>
  <c r="U232" i="10" s="1"/>
  <c r="AQ274" i="22"/>
  <c r="U276" i="10" s="1"/>
  <c r="AQ51" i="22"/>
  <c r="U54" i="10" s="1"/>
  <c r="AQ247" i="22"/>
  <c r="U249" i="10" s="1"/>
  <c r="AQ28" i="22"/>
  <c r="U31" i="10" s="1"/>
  <c r="AQ158" i="22"/>
  <c r="U161" i="10" s="1"/>
  <c r="AQ151" i="22"/>
  <c r="U153" i="10" s="1"/>
  <c r="AQ89" i="22"/>
  <c r="U92" i="10" s="1"/>
  <c r="AQ162" i="22"/>
  <c r="U165" i="10" s="1"/>
  <c r="AQ171" i="22"/>
  <c r="U174" i="10" s="1"/>
  <c r="AQ44" i="22"/>
  <c r="U47" i="10" s="1"/>
  <c r="AQ175" i="22"/>
  <c r="U178" i="10" s="1"/>
  <c r="AQ108" i="22"/>
  <c r="U110" i="10" s="1"/>
  <c r="AQ34" i="22"/>
  <c r="U37" i="10" s="1"/>
  <c r="AQ216" i="22"/>
  <c r="U218" i="10" s="1"/>
  <c r="AQ36" i="22"/>
  <c r="U39" i="10" s="1"/>
  <c r="AQ225" i="22"/>
  <c r="U227" i="10" s="1"/>
  <c r="AQ92" i="22"/>
  <c r="U95" i="10" s="1"/>
  <c r="AQ142" i="22"/>
  <c r="U144" i="10" s="1"/>
  <c r="AQ120" i="22"/>
  <c r="U123" i="10" s="1"/>
  <c r="AQ289" i="22"/>
  <c r="U291" i="10" s="1"/>
  <c r="AQ75" i="22"/>
  <c r="U78" i="10" s="1"/>
  <c r="AQ266" i="22"/>
  <c r="U268" i="10" s="1"/>
  <c r="AQ81" i="22"/>
  <c r="U84" i="10" s="1"/>
  <c r="AQ111" i="22"/>
  <c r="U114" i="10" s="1"/>
  <c r="AQ168" i="22"/>
  <c r="U171" i="10" s="1"/>
  <c r="AQ178" i="22"/>
  <c r="U181" i="10" s="1"/>
  <c r="AQ80" i="22"/>
  <c r="U83" i="10" s="1"/>
  <c r="AQ146" i="22"/>
  <c r="U148" i="10" s="1"/>
  <c r="AQ53" i="22"/>
  <c r="U56" i="10" s="1"/>
  <c r="AQ304" i="22"/>
  <c r="U306" i="10" s="1"/>
  <c r="AQ138" i="22"/>
  <c r="U18" i="10" s="1"/>
  <c r="AQ170" i="22"/>
  <c r="U173" i="10" s="1"/>
  <c r="AQ149" i="22"/>
  <c r="U151" i="10" s="1"/>
  <c r="AQ35" i="22"/>
  <c r="U38" i="10" s="1"/>
  <c r="AQ50" i="22"/>
  <c r="U53" i="10" s="1"/>
  <c r="AQ47" i="22"/>
  <c r="U50" i="10" s="1"/>
  <c r="AQ97" i="22"/>
  <c r="U100" i="10" s="1"/>
  <c r="AQ255" i="22"/>
  <c r="U257" i="10" s="1"/>
  <c r="AQ180" i="22"/>
  <c r="U183" i="10" s="1"/>
  <c r="AQ183" i="22"/>
  <c r="U186" i="10" s="1"/>
  <c r="AQ72" i="22"/>
  <c r="U75" i="10" s="1"/>
  <c r="AQ37" i="22"/>
  <c r="U40" i="10" s="1"/>
  <c r="AQ243" i="22"/>
  <c r="U245" i="10" s="1"/>
  <c r="AQ46" i="22"/>
  <c r="U49" i="10" s="1"/>
  <c r="AQ88" i="22"/>
  <c r="U91" i="10" s="1"/>
  <c r="AQ62" i="22"/>
  <c r="U65" i="10" s="1"/>
  <c r="AQ174" i="22"/>
  <c r="U177" i="10" s="1"/>
  <c r="AQ69" i="22"/>
  <c r="U72" i="10" s="1"/>
  <c r="AQ258" i="22"/>
  <c r="U260" i="10" s="1"/>
  <c r="AQ45" i="22"/>
  <c r="U48" i="10" s="1"/>
  <c r="AQ302" i="22"/>
  <c r="U304" i="10" s="1"/>
  <c r="AQ121" i="22"/>
  <c r="U124" i="10" s="1"/>
  <c r="AQ128" i="22"/>
  <c r="U131" i="10" s="1"/>
  <c r="AQ11" i="22"/>
  <c r="U13" i="10" s="1"/>
  <c r="AQ233" i="22"/>
  <c r="U235" i="10" s="1"/>
  <c r="AQ309" i="22"/>
  <c r="U312" i="10" s="1"/>
  <c r="AQ85" i="22"/>
  <c r="U88" i="10" s="1"/>
  <c r="AQ125" i="22"/>
  <c r="U128" i="10" s="1"/>
  <c r="AQ148" i="22"/>
  <c r="U150" i="10" s="1"/>
  <c r="AQ211" i="22"/>
  <c r="U213" i="10" s="1"/>
  <c r="AQ160" i="22"/>
  <c r="U163" i="10" s="1"/>
  <c r="AQ98" i="22"/>
  <c r="U101" i="10" s="1"/>
  <c r="AQ15" i="22"/>
  <c r="U17" i="10" s="1"/>
  <c r="AQ222" i="22"/>
  <c r="U224" i="10" s="1"/>
  <c r="G224" i="10" s="1"/>
  <c r="AQ31" i="22"/>
  <c r="U34" i="10" s="1"/>
  <c r="AQ82" i="22"/>
  <c r="U85" i="10" s="1"/>
  <c r="AQ284" i="22"/>
  <c r="U286" i="10" s="1"/>
  <c r="AQ303" i="22"/>
  <c r="U305" i="10" s="1"/>
  <c r="AQ63" i="22"/>
  <c r="U66" i="10" s="1"/>
  <c r="AQ65" i="22"/>
  <c r="U68" i="10" s="1"/>
  <c r="AQ139" i="22"/>
  <c r="U141" i="10" s="1"/>
  <c r="AQ292" i="22"/>
  <c r="U294" i="10" s="1"/>
  <c r="AQ90" i="22"/>
  <c r="U93" i="10" s="1"/>
  <c r="AQ172" i="22"/>
  <c r="U175" i="10" s="1"/>
  <c r="AQ280" i="22"/>
  <c r="U282" i="10" s="1"/>
  <c r="AQ161" i="22"/>
  <c r="U164" i="10" s="1"/>
  <c r="AG249" i="22"/>
  <c r="L251" i="9" s="1"/>
  <c r="M251" i="9" s="1"/>
  <c r="AG11" i="22"/>
  <c r="AG229" i="22"/>
  <c r="AG225" i="22"/>
  <c r="AG70" i="22"/>
  <c r="AF141" i="22"/>
  <c r="AG265" i="22"/>
  <c r="AG61" i="22"/>
  <c r="AG286" i="22"/>
  <c r="AF296" i="22"/>
  <c r="AF54" i="22"/>
  <c r="AG144" i="22"/>
  <c r="G112" i="10"/>
  <c r="AG160" i="22"/>
  <c r="AF189" i="22"/>
  <c r="G251" i="10"/>
  <c r="AG248" i="22"/>
  <c r="AG44" i="22"/>
  <c r="AG62" i="22"/>
  <c r="AG251" i="22"/>
  <c r="AG292" i="22"/>
  <c r="G196" i="10"/>
  <c r="AG66" i="22"/>
  <c r="AG114" i="22"/>
  <c r="AG226" i="22"/>
  <c r="G266" i="10"/>
  <c r="AG74" i="22"/>
  <c r="AG133" i="22"/>
  <c r="AG18" i="22"/>
  <c r="AF18" i="22"/>
  <c r="AG186" i="22"/>
  <c r="AF186" i="22"/>
  <c r="AG89" i="22"/>
  <c r="AG86" i="22"/>
  <c r="AG289" i="22"/>
  <c r="AF249" i="22"/>
  <c r="G251" i="9" s="1"/>
  <c r="AF35" i="22"/>
  <c r="AF78" i="22"/>
  <c r="AF297" i="22"/>
  <c r="AG141" i="22"/>
  <c r="AG55" i="22"/>
  <c r="AG241" i="22"/>
  <c r="AG155" i="22"/>
  <c r="AF185" i="22"/>
  <c r="AF170" i="22"/>
  <c r="AF40" i="22"/>
  <c r="AG59" i="22"/>
  <c r="AG110" i="22"/>
  <c r="AG46" i="22"/>
  <c r="AG211" i="22"/>
  <c r="AG54" i="22"/>
  <c r="AG71" i="22"/>
  <c r="AF144" i="22"/>
  <c r="AF238" i="22"/>
  <c r="AF76" i="22"/>
  <c r="AF45" i="22"/>
  <c r="AF283" i="22"/>
  <c r="AF263" i="22"/>
  <c r="AF150" i="22"/>
  <c r="AF99" i="22"/>
  <c r="AG138" i="22"/>
  <c r="AG219" i="22"/>
  <c r="AG164" i="22"/>
  <c r="AG278" i="22"/>
  <c r="AG259" i="22"/>
  <c r="AG187" i="22"/>
  <c r="AG290" i="22"/>
  <c r="AG154" i="22"/>
  <c r="AG152" i="22"/>
  <c r="AG311" i="22"/>
  <c r="AG51" i="22"/>
  <c r="AG206" i="22"/>
  <c r="AG279" i="22"/>
  <c r="AF279" i="22"/>
  <c r="AG173" i="22"/>
  <c r="AF173" i="22"/>
  <c r="AG171" i="22"/>
  <c r="AF171" i="22"/>
  <c r="AG210" i="22"/>
  <c r="AF210" i="22"/>
  <c r="AF131" i="22"/>
  <c r="AF300" i="22"/>
  <c r="AG35" i="22"/>
  <c r="AG78" i="22"/>
  <c r="AG297" i="22"/>
  <c r="AF142" i="22"/>
  <c r="AF257" i="22"/>
  <c r="AF70" i="22"/>
  <c r="AG185" i="22"/>
  <c r="AG170" i="22"/>
  <c r="AG40" i="22"/>
  <c r="AF220" i="22"/>
  <c r="AF39" i="22"/>
  <c r="AF11" i="22"/>
  <c r="AF177" i="22"/>
  <c r="AF75" i="22"/>
  <c r="AF117" i="22"/>
  <c r="AG238" i="22"/>
  <c r="AG76" i="22"/>
  <c r="AG45" i="22"/>
  <c r="AG283" i="22"/>
  <c r="AG263" i="22"/>
  <c r="AG150" i="22"/>
  <c r="AG99" i="22"/>
  <c r="AF291" i="22"/>
  <c r="AF273" i="22"/>
  <c r="AF227" i="22"/>
  <c r="AF207" i="22"/>
  <c r="AF261" i="22"/>
  <c r="AF29" i="22"/>
  <c r="AF156" i="22"/>
  <c r="AF77" i="22"/>
  <c r="AF294" i="22"/>
  <c r="AF191" i="22"/>
  <c r="AF69" i="22"/>
  <c r="AF15" i="22"/>
  <c r="AF221" i="22"/>
  <c r="AG129" i="22"/>
  <c r="AF129" i="22"/>
  <c r="AG169" i="22"/>
  <c r="AF169" i="22"/>
  <c r="AG182" i="22"/>
  <c r="AF182" i="22"/>
  <c r="AG131" i="22"/>
  <c r="AG300" i="22"/>
  <c r="AF183" i="22"/>
  <c r="AF83" i="22"/>
  <c r="AF149" i="22"/>
  <c r="AF123" i="22"/>
  <c r="AG142" i="22"/>
  <c r="AG257" i="22"/>
  <c r="AF162" i="22"/>
  <c r="AF52" i="22"/>
  <c r="AF95" i="22"/>
  <c r="AG220" i="22"/>
  <c r="L222" i="9" s="1"/>
  <c r="M222" i="9" s="1"/>
  <c r="AG39" i="22"/>
  <c r="AG177" i="22"/>
  <c r="AG75" i="22"/>
  <c r="AG117" i="22"/>
  <c r="AF134" i="22"/>
  <c r="AF44" i="22"/>
  <c r="AF204" i="22"/>
  <c r="AF260" i="22"/>
  <c r="AF205" i="22"/>
  <c r="AF137" i="22"/>
  <c r="AF37" i="22"/>
  <c r="AF201" i="22"/>
  <c r="AG291" i="22"/>
  <c r="AG273" i="22"/>
  <c r="L275" i="9" s="1"/>
  <c r="AG227" i="22"/>
  <c r="AG207" i="22"/>
  <c r="AG261" i="22"/>
  <c r="AG29" i="22"/>
  <c r="AG156" i="22"/>
  <c r="AG77" i="22"/>
  <c r="AG294" i="22"/>
  <c r="AG191" i="22"/>
  <c r="AG69" i="22"/>
  <c r="AG15" i="22"/>
  <c r="AG221" i="22"/>
  <c r="AG31" i="22"/>
  <c r="AF31" i="22"/>
  <c r="AG215" i="22"/>
  <c r="AF215" i="22"/>
  <c r="AF85" i="22"/>
  <c r="AF253" i="22"/>
  <c r="AF281" i="22"/>
  <c r="AF213" i="22"/>
  <c r="AG183" i="22"/>
  <c r="AG83" i="22"/>
  <c r="AG149" i="22"/>
  <c r="AG123" i="22"/>
  <c r="AF14" i="22"/>
  <c r="AF298" i="22"/>
  <c r="AF136" i="22"/>
  <c r="AG162" i="22"/>
  <c r="AG52" i="22"/>
  <c r="AG95" i="22"/>
  <c r="AF246" i="22"/>
  <c r="AF111" i="22"/>
  <c r="AF165" i="22"/>
  <c r="AF218" i="22"/>
  <c r="AF81" i="22"/>
  <c r="AF90" i="22"/>
  <c r="AG134" i="22"/>
  <c r="AG204" i="22"/>
  <c r="AG260" i="22"/>
  <c r="AG205" i="22"/>
  <c r="AG137" i="22"/>
  <c r="AG37" i="22"/>
  <c r="AG201" i="22"/>
  <c r="AF20" i="22"/>
  <c r="AF158" i="22"/>
  <c r="AF309" i="22"/>
  <c r="AF242" i="22"/>
  <c r="AF212" i="22"/>
  <c r="AF195" i="22"/>
  <c r="AF224" i="22"/>
  <c r="AF88" i="22"/>
  <c r="AF268" i="22"/>
  <c r="AF258" i="22"/>
  <c r="AF50" i="22"/>
  <c r="AF286" i="22"/>
  <c r="AF225" i="22"/>
  <c r="AF103" i="22"/>
  <c r="AG222" i="22"/>
  <c r="L224" i="9" s="1"/>
  <c r="M224" i="9" s="1"/>
  <c r="AF222" i="22"/>
  <c r="G224" i="9" s="1"/>
  <c r="AI222" i="22" s="1"/>
  <c r="AJ222" i="22" s="1"/>
  <c r="AG107" i="22"/>
  <c r="AF107" i="22"/>
  <c r="AG124" i="22"/>
  <c r="AF124" i="22"/>
  <c r="AG85" i="22"/>
  <c r="AG253" i="22"/>
  <c r="AG281" i="22"/>
  <c r="AG213" i="22"/>
  <c r="AF214" i="22"/>
  <c r="AF285" i="22"/>
  <c r="AF275" i="22"/>
  <c r="AF147" i="22"/>
  <c r="AG14" i="22"/>
  <c r="AG298" i="22"/>
  <c r="AG136" i="22"/>
  <c r="AF153" i="22"/>
  <c r="AF66" i="22"/>
  <c r="AF163" i="22"/>
  <c r="AG246" i="22"/>
  <c r="AG111" i="22"/>
  <c r="AG165" i="22"/>
  <c r="AG218" i="22"/>
  <c r="AG81" i="22"/>
  <c r="AG90" i="22"/>
  <c r="AF160" i="22"/>
  <c r="AF98" i="22"/>
  <c r="AF127" i="22"/>
  <c r="AF25" i="22"/>
  <c r="AF243" i="22"/>
  <c r="AF148" i="22"/>
  <c r="AF265" i="22"/>
  <c r="AG20" i="22"/>
  <c r="AG158" i="22"/>
  <c r="AG309" i="22"/>
  <c r="AG242" i="22"/>
  <c r="AG212" i="22"/>
  <c r="AG195" i="22"/>
  <c r="AG224" i="22"/>
  <c r="AG88" i="22"/>
  <c r="AG268" i="22"/>
  <c r="AG258" i="22"/>
  <c r="AG50" i="22"/>
  <c r="AG103" i="22"/>
  <c r="AG84" i="22"/>
  <c r="AF84" i="22"/>
  <c r="AG112" i="22"/>
  <c r="AF112" i="22"/>
  <c r="AG60" i="22"/>
  <c r="AF60" i="22"/>
  <c r="AG302" i="22"/>
  <c r="AF302" i="22"/>
  <c r="AG239" i="22"/>
  <c r="AF239" i="22"/>
  <c r="AF284" i="22"/>
  <c r="AF130" i="22"/>
  <c r="AF53" i="22"/>
  <c r="AG214" i="22"/>
  <c r="AG285" i="22"/>
  <c r="AG275" i="22"/>
  <c r="AG147" i="22"/>
  <c r="AF232" i="22"/>
  <c r="AF248" i="22"/>
  <c r="AF118" i="22"/>
  <c r="AG153" i="22"/>
  <c r="AG163" i="22"/>
  <c r="AF24" i="22"/>
  <c r="AF236" i="22"/>
  <c r="AF21" i="22"/>
  <c r="AF23" i="22"/>
  <c r="AF121" i="22"/>
  <c r="AF196" i="22"/>
  <c r="AF292" i="22"/>
  <c r="AG98" i="22"/>
  <c r="AG127" i="22"/>
  <c r="AG25" i="22"/>
  <c r="AG243" i="22"/>
  <c r="AG148" i="22"/>
  <c r="AF80" i="22"/>
  <c r="AF282" i="22"/>
  <c r="AF252" i="22"/>
  <c r="AF49" i="22"/>
  <c r="AF12" i="22"/>
  <c r="AF272" i="22"/>
  <c r="AF105" i="22"/>
  <c r="AF179" i="22"/>
  <c r="AF132" i="22"/>
  <c r="AF229" i="22"/>
  <c r="AF64" i="22"/>
  <c r="AF74" i="22"/>
  <c r="AF108" i="22"/>
  <c r="AG271" i="22"/>
  <c r="AF271" i="22"/>
  <c r="AG269" i="22"/>
  <c r="AF269" i="22"/>
  <c r="AG284" i="22"/>
  <c r="AG130" i="22"/>
  <c r="AG53" i="22"/>
  <c r="AF266" i="22"/>
  <c r="AF128" i="22"/>
  <c r="AF115" i="22"/>
  <c r="AG232" i="22"/>
  <c r="AG118" i="22"/>
  <c r="AF87" i="22"/>
  <c r="AF47" i="22"/>
  <c r="AF151" i="22"/>
  <c r="AF172" i="22"/>
  <c r="AG24" i="22"/>
  <c r="AG236" i="22"/>
  <c r="AG21" i="22"/>
  <c r="AG23" i="22"/>
  <c r="AG121" i="22"/>
  <c r="AG196" i="22"/>
  <c r="AF264" i="22"/>
  <c r="G266" i="9" s="1"/>
  <c r="AF19" i="22"/>
  <c r="AF280" i="22"/>
  <c r="AF157" i="22"/>
  <c r="AF57" i="22"/>
  <c r="AF65" i="22"/>
  <c r="AF216" i="22"/>
  <c r="AF203" i="22"/>
  <c r="AG80" i="22"/>
  <c r="AG282" i="22"/>
  <c r="AG252" i="22"/>
  <c r="AG49" i="22"/>
  <c r="AG12" i="22"/>
  <c r="AG272" i="22"/>
  <c r="AG105" i="22"/>
  <c r="AG179" i="22"/>
  <c r="AG132" i="22"/>
  <c r="AG296" i="22"/>
  <c r="AG64" i="22"/>
  <c r="AG108" i="22"/>
  <c r="AG43" i="22"/>
  <c r="AF43" i="22"/>
  <c r="AG178" i="22"/>
  <c r="AF178" i="22"/>
  <c r="AG303" i="22"/>
  <c r="AF303" i="22"/>
  <c r="AG228" i="22"/>
  <c r="AF228" i="22"/>
  <c r="AF146" i="22"/>
  <c r="AF184" i="22"/>
  <c r="AF175" i="22"/>
  <c r="AG266" i="22"/>
  <c r="AG128" i="22"/>
  <c r="AG115" i="22"/>
  <c r="AF92" i="22"/>
  <c r="AF38" i="22"/>
  <c r="AF140" i="22"/>
  <c r="AG87" i="22"/>
  <c r="AG47" i="22"/>
  <c r="AG151" i="22"/>
  <c r="AG172" i="22"/>
  <c r="AF26" i="22"/>
  <c r="AF199" i="22"/>
  <c r="AF72" i="22"/>
  <c r="AF277" i="22"/>
  <c r="AF120" i="22"/>
  <c r="AF276" i="22"/>
  <c r="AF91" i="22"/>
  <c r="AG264" i="22"/>
  <c r="L266" i="9" s="1"/>
  <c r="M266" i="9" s="1"/>
  <c r="AG19" i="22"/>
  <c r="AG280" i="22"/>
  <c r="AG157" i="22"/>
  <c r="AG57" i="22"/>
  <c r="AG65" i="22"/>
  <c r="AG216" i="22"/>
  <c r="AG203" i="22"/>
  <c r="AF231" i="22"/>
  <c r="AF27" i="22"/>
  <c r="AF256" i="22"/>
  <c r="AF135" i="22"/>
  <c r="AF217" i="22"/>
  <c r="AF159" i="22"/>
  <c r="AF133" i="22"/>
  <c r="AF267" i="22"/>
  <c r="AF100" i="22"/>
  <c r="AF63" i="22"/>
  <c r="AF308" i="22"/>
  <c r="AF274" i="22"/>
  <c r="AF114" i="22"/>
  <c r="AF22" i="22"/>
  <c r="AG68" i="22"/>
  <c r="AF68" i="22"/>
  <c r="AG310" i="22"/>
  <c r="AF310" i="22"/>
  <c r="AG30" i="22"/>
  <c r="AF30" i="22"/>
  <c r="AG304" i="22"/>
  <c r="AF304" i="22"/>
  <c r="AG240" i="22"/>
  <c r="AF240" i="22"/>
  <c r="AG146" i="22"/>
  <c r="AG184" i="22"/>
  <c r="AG175" i="22"/>
  <c r="AF250" i="22"/>
  <c r="AF251" i="22"/>
  <c r="AF255" i="22"/>
  <c r="AF16" i="22"/>
  <c r="AG92" i="22"/>
  <c r="AG38" i="22"/>
  <c r="AG140" i="22"/>
  <c r="AF230" i="22"/>
  <c r="AF93" i="22"/>
  <c r="AF36" i="22"/>
  <c r="AF180" i="22"/>
  <c r="AG26" i="22"/>
  <c r="AG199" i="22"/>
  <c r="AG72" i="22"/>
  <c r="AG277" i="22"/>
  <c r="AG120" i="22"/>
  <c r="AG276" i="22"/>
  <c r="AG91" i="22"/>
  <c r="AF94" i="22"/>
  <c r="AF73" i="22"/>
  <c r="AF270" i="22"/>
  <c r="AF82" i="22"/>
  <c r="AF96" i="22"/>
  <c r="AF202" i="22"/>
  <c r="AF299" i="22"/>
  <c r="AG231" i="22"/>
  <c r="AG27" i="22"/>
  <c r="AG256" i="22"/>
  <c r="AG135" i="22"/>
  <c r="AG217" i="22"/>
  <c r="AG159" i="22"/>
  <c r="AG267" i="22"/>
  <c r="AG100" i="22"/>
  <c r="AG63" i="22"/>
  <c r="AG308" i="22"/>
  <c r="AG274" i="22"/>
  <c r="AG22" i="22"/>
  <c r="AG113" i="22"/>
  <c r="AF113" i="22"/>
  <c r="AG293" i="22"/>
  <c r="AF293" i="22"/>
  <c r="AG34" i="22"/>
  <c r="AF34" i="22"/>
  <c r="AF17" i="22"/>
  <c r="AF208" i="22"/>
  <c r="AF56" i="22"/>
  <c r="AG250" i="22"/>
  <c r="AG255" i="22"/>
  <c r="AG16" i="22"/>
  <c r="AF33" i="22"/>
  <c r="AF254" i="22"/>
  <c r="AF102" i="22"/>
  <c r="AF79" i="22"/>
  <c r="AG230" i="22"/>
  <c r="AG93" i="22"/>
  <c r="AG36" i="22"/>
  <c r="AG180" i="22"/>
  <c r="AF28" i="22"/>
  <c r="AF301" i="22"/>
  <c r="AF287" i="22"/>
  <c r="AF181" i="22"/>
  <c r="AF234" i="22"/>
  <c r="AF104" i="22"/>
  <c r="AF167" i="22"/>
  <c r="AG94" i="22"/>
  <c r="AG73" i="22"/>
  <c r="AG270" i="22"/>
  <c r="AG82" i="22"/>
  <c r="AG96" i="22"/>
  <c r="AG202" i="22"/>
  <c r="AG299" i="22"/>
  <c r="AF61" i="22"/>
  <c r="AF235" i="22"/>
  <c r="AF288" i="22"/>
  <c r="AF119" i="22"/>
  <c r="AF174" i="22"/>
  <c r="AF197" i="22"/>
  <c r="AF109" i="22"/>
  <c r="G112" i="9" s="1"/>
  <c r="AF97" i="22"/>
  <c r="AF233" i="22"/>
  <c r="AF245" i="22"/>
  <c r="AF200" i="22"/>
  <c r="AF176" i="22"/>
  <c r="AG168" i="22"/>
  <c r="AF168" i="22"/>
  <c r="AG305" i="22"/>
  <c r="AF305" i="22"/>
  <c r="AG17" i="22"/>
  <c r="AG208" i="22"/>
  <c r="AG56" i="22"/>
  <c r="AF126" i="22"/>
  <c r="AF62" i="22"/>
  <c r="AF262" i="22"/>
  <c r="AF42" i="22"/>
  <c r="AG33" i="22"/>
  <c r="AG254" i="22"/>
  <c r="AG102" i="22"/>
  <c r="AG79" i="22"/>
  <c r="AF306" i="22"/>
  <c r="AF145" i="22"/>
  <c r="AF247" i="22"/>
  <c r="AF190" i="22"/>
  <c r="AG28" i="22"/>
  <c r="AG301" i="22"/>
  <c r="AG287" i="22"/>
  <c r="AG181" i="22"/>
  <c r="AG234" i="22"/>
  <c r="AG104" i="22"/>
  <c r="AG167" i="22"/>
  <c r="AF41" i="22"/>
  <c r="AF101" i="22"/>
  <c r="AF226" i="22"/>
  <c r="AF48" i="22"/>
  <c r="AF116" i="22"/>
  <c r="AF198" i="22"/>
  <c r="AF139" i="22"/>
  <c r="AG189" i="22"/>
  <c r="AG235" i="22"/>
  <c r="AG288" i="22"/>
  <c r="AG119" i="22"/>
  <c r="AG174" i="22"/>
  <c r="AG197" i="22"/>
  <c r="AG109" i="22"/>
  <c r="L112" i="9" s="1"/>
  <c r="M112" i="9" s="1"/>
  <c r="AG233" i="22"/>
  <c r="AG245" i="22"/>
  <c r="AG200" i="22"/>
  <c r="AG176" i="22"/>
  <c r="AG161" i="22"/>
  <c r="AF161" i="22"/>
  <c r="AG193" i="22"/>
  <c r="AF193" i="22"/>
  <c r="G196" i="9" s="1"/>
  <c r="AI193" i="22" s="1"/>
  <c r="AJ193" i="22" s="1"/>
  <c r="AG125" i="22"/>
  <c r="AF125" i="22"/>
  <c r="AG194" i="22"/>
  <c r="AF194" i="22"/>
  <c r="AF89" i="22"/>
  <c r="AF86" i="22"/>
  <c r="AF289" i="22"/>
  <c r="AG126" i="22"/>
  <c r="AG262" i="22"/>
  <c r="AG42" i="22"/>
  <c r="AF55" i="22"/>
  <c r="AF241" i="22"/>
  <c r="AF155" i="22"/>
  <c r="AG306" i="22"/>
  <c r="AG145" i="22"/>
  <c r="AG247" i="22"/>
  <c r="AG190" i="22"/>
  <c r="AF59" i="22"/>
  <c r="AF110" i="22"/>
  <c r="AF46" i="22"/>
  <c r="AF211" i="22"/>
  <c r="AF71" i="22"/>
  <c r="AG41" i="22"/>
  <c r="AG101" i="22"/>
  <c r="AG48" i="22"/>
  <c r="AG116" i="22"/>
  <c r="AG198" i="22"/>
  <c r="AG139" i="22"/>
  <c r="AF138" i="22"/>
  <c r="AF219" i="22"/>
  <c r="AF164" i="22"/>
  <c r="AF278" i="22"/>
  <c r="AF259" i="22"/>
  <c r="AF187" i="22"/>
  <c r="AF290" i="22"/>
  <c r="AF154" i="22"/>
  <c r="AF152" i="22"/>
  <c r="AF311" i="22"/>
  <c r="AF51" i="22"/>
  <c r="AF206" i="22"/>
  <c r="AG97" i="22"/>
  <c r="D324" i="22"/>
  <c r="C324" i="22"/>
  <c r="Q65" i="18"/>
  <c r="G67" i="22"/>
  <c r="AQ67" i="22" s="1"/>
  <c r="U70" i="10" s="1"/>
  <c r="Q59" i="18"/>
  <c r="Q241" i="18"/>
  <c r="G244" i="22"/>
  <c r="AQ244" i="22" s="1"/>
  <c r="U246" i="10" s="1"/>
  <c r="G246" i="10" s="1"/>
  <c r="Q104" i="18"/>
  <c r="G106" i="22"/>
  <c r="AQ106" i="22" s="1"/>
  <c r="Q164" i="18"/>
  <c r="G166" i="22"/>
  <c r="AQ166" i="22" s="1"/>
  <c r="Q140" i="18"/>
  <c r="G143" i="22"/>
  <c r="AQ143" i="22" s="1"/>
  <c r="U145" i="10" s="1"/>
  <c r="Q95" i="18"/>
  <c r="Q203" i="18"/>
  <c r="G209" i="22"/>
  <c r="AQ209" i="22" s="1"/>
  <c r="U208" i="10" s="1"/>
  <c r="Q56" i="18"/>
  <c r="G58" i="22"/>
  <c r="AQ58" i="22" s="1"/>
  <c r="U61" i="10" s="1"/>
  <c r="Q299" i="18"/>
  <c r="R116" i="10"/>
  <c r="D116" i="10" s="1"/>
  <c r="R124" i="10"/>
  <c r="D124" i="10" s="1"/>
  <c r="R284" i="10"/>
  <c r="D284" i="10" s="1"/>
  <c r="R80" i="10"/>
  <c r="D80" i="10" s="1"/>
  <c r="R139" i="10"/>
  <c r="D139" i="10" s="1"/>
  <c r="R272" i="10"/>
  <c r="D272" i="10" s="1"/>
  <c r="R285" i="10"/>
  <c r="D285" i="10" s="1"/>
  <c r="R34" i="10"/>
  <c r="D34" i="10" s="1"/>
  <c r="R162" i="10"/>
  <c r="D162" i="10" s="1"/>
  <c r="R35" i="10"/>
  <c r="D35" i="10" s="1"/>
  <c r="R235" i="10"/>
  <c r="D235" i="10" s="1"/>
  <c r="R84" i="10"/>
  <c r="D84" i="10" s="1"/>
  <c r="R38" i="10"/>
  <c r="D38" i="10" s="1"/>
  <c r="R103" i="10"/>
  <c r="D103" i="10" s="1"/>
  <c r="R135" i="10"/>
  <c r="D135" i="10" s="1"/>
  <c r="R82" i="10"/>
  <c r="D82" i="10" s="1"/>
  <c r="R96" i="10"/>
  <c r="D96" i="10" s="1"/>
  <c r="R115" i="10"/>
  <c r="D115" i="10" s="1"/>
  <c r="R23" i="10"/>
  <c r="D23" i="10" s="1"/>
  <c r="R108" i="10"/>
  <c r="D108" i="10" s="1"/>
  <c r="R247" i="10"/>
  <c r="D247" i="10" s="1"/>
  <c r="R273" i="10"/>
  <c r="D273" i="10" s="1"/>
  <c r="R232" i="10"/>
  <c r="D232" i="10" s="1"/>
  <c r="R97" i="10"/>
  <c r="D97" i="10" s="1"/>
  <c r="R132" i="10"/>
  <c r="D132" i="10" s="1"/>
  <c r="R306" i="10"/>
  <c r="D306" i="10" s="1"/>
  <c r="R39" i="10"/>
  <c r="D39" i="10" s="1"/>
  <c r="R145" i="10"/>
  <c r="D145" i="10" s="1"/>
  <c r="R43" i="10"/>
  <c r="D43" i="10" s="1"/>
  <c r="S36" i="10"/>
  <c r="E36" i="10" s="1"/>
  <c r="R110" i="10"/>
  <c r="D110" i="10" s="1"/>
  <c r="R143" i="10"/>
  <c r="D143" i="10" s="1"/>
  <c r="R307" i="10"/>
  <c r="D307" i="10" s="1"/>
  <c r="R183" i="10"/>
  <c r="D183" i="10" s="1"/>
  <c r="R193" i="10"/>
  <c r="D193" i="10" s="1"/>
  <c r="R125" i="10"/>
  <c r="D125" i="10" s="1"/>
  <c r="R41" i="10"/>
  <c r="D41" i="10" s="1"/>
  <c r="R106" i="10"/>
  <c r="D106" i="10" s="1"/>
  <c r="R75" i="10"/>
  <c r="D75" i="10" s="1"/>
  <c r="R313" i="10"/>
  <c r="D313" i="10" s="1"/>
  <c r="R187" i="10"/>
  <c r="D187" i="10" s="1"/>
  <c r="R244" i="10"/>
  <c r="D244" i="10" s="1"/>
  <c r="R160" i="10"/>
  <c r="D160" i="10" s="1"/>
  <c r="R172" i="10"/>
  <c r="D172" i="10" s="1"/>
  <c r="R262" i="10"/>
  <c r="D262" i="10" s="1"/>
  <c r="R153" i="10"/>
  <c r="D153" i="10" s="1"/>
  <c r="R25" i="10"/>
  <c r="D25" i="10" s="1"/>
  <c r="R233" i="10"/>
  <c r="D233" i="10" s="1"/>
  <c r="R29" i="10"/>
  <c r="D29" i="10" s="1"/>
  <c r="R203" i="10"/>
  <c r="D203" i="10" s="1"/>
  <c r="R202" i="10"/>
  <c r="D202" i="10" s="1"/>
  <c r="R293" i="10"/>
  <c r="D293" i="10" s="1"/>
  <c r="R44" i="10"/>
  <c r="D44" i="10" s="1"/>
  <c r="R182" i="10"/>
  <c r="D182" i="10" s="1"/>
  <c r="R298" i="10"/>
  <c r="D298" i="10" s="1"/>
  <c r="R295" i="10"/>
  <c r="D295" i="10" s="1"/>
  <c r="R301" i="10"/>
  <c r="D301" i="10" s="1"/>
  <c r="R290" i="10"/>
  <c r="D290" i="10" s="1"/>
  <c r="R289" i="10"/>
  <c r="D289" i="10" s="1"/>
  <c r="R300" i="10"/>
  <c r="D300" i="10" s="1"/>
  <c r="R292" i="10"/>
  <c r="D292" i="10" s="1"/>
  <c r="R230" i="10"/>
  <c r="D230" i="10" s="1"/>
  <c r="R209" i="10"/>
  <c r="D209" i="10" s="1"/>
  <c r="R159" i="10"/>
  <c r="D159" i="10" s="1"/>
  <c r="R217" i="10"/>
  <c r="D217" i="10" s="1"/>
  <c r="G275" i="10"/>
  <c r="R226" i="10"/>
  <c r="D226" i="10" s="1"/>
  <c r="R148" i="10"/>
  <c r="D148" i="10" s="1"/>
  <c r="R141" i="10"/>
  <c r="D141" i="10" s="1"/>
  <c r="R223" i="10"/>
  <c r="D223" i="10" s="1"/>
  <c r="R161" i="10"/>
  <c r="D161" i="10" s="1"/>
  <c r="R100" i="10"/>
  <c r="D100" i="10" s="1"/>
  <c r="R170" i="10"/>
  <c r="D170" i="10" s="1"/>
  <c r="R155" i="10"/>
  <c r="D155" i="10" s="1"/>
  <c r="R242" i="10"/>
  <c r="D242" i="10" s="1"/>
  <c r="R256" i="10"/>
  <c r="D256" i="10" s="1"/>
  <c r="R267" i="10"/>
  <c r="D267" i="10" s="1"/>
  <c r="R220" i="10"/>
  <c r="D220" i="10" s="1"/>
  <c r="R52" i="10"/>
  <c r="D52" i="10" s="1"/>
  <c r="R45" i="10"/>
  <c r="D45" i="10" s="1"/>
  <c r="R190" i="10"/>
  <c r="D190" i="10" s="1"/>
  <c r="R74" i="10"/>
  <c r="D74" i="10" s="1"/>
  <c r="R51" i="10"/>
  <c r="D51" i="10" s="1"/>
  <c r="R114" i="10"/>
  <c r="D114" i="10" s="1"/>
  <c r="R73" i="10"/>
  <c r="D73" i="10" s="1"/>
  <c r="R283" i="10"/>
  <c r="D283" i="10" s="1"/>
  <c r="R77" i="10"/>
  <c r="D77" i="10" s="1"/>
  <c r="R228" i="10"/>
  <c r="D228" i="10" s="1"/>
  <c r="R13" i="10"/>
  <c r="D13" i="10" s="1"/>
  <c r="R27" i="10"/>
  <c r="D27" i="10" s="1"/>
  <c r="R88" i="10"/>
  <c r="D88" i="10" s="1"/>
  <c r="R188" i="10"/>
  <c r="D188" i="10" s="1"/>
  <c r="R275" i="10"/>
  <c r="D275" i="10" s="1"/>
  <c r="S275" i="10"/>
  <c r="E275" i="10" s="1"/>
  <c r="R61" i="10"/>
  <c r="D61" i="10" s="1"/>
  <c r="S224" i="10"/>
  <c r="E224" i="10" s="1"/>
  <c r="R194" i="10"/>
  <c r="D194" i="10" s="1"/>
  <c r="R104" i="10"/>
  <c r="D104" i="10" s="1"/>
  <c r="R47" i="10"/>
  <c r="D47" i="10" s="1"/>
  <c r="R147" i="10"/>
  <c r="D147" i="10" s="1"/>
  <c r="R280" i="10"/>
  <c r="D280" i="10" s="1"/>
  <c r="R111" i="10"/>
  <c r="D111" i="10" s="1"/>
  <c r="R146" i="10"/>
  <c r="D146" i="10" s="1"/>
  <c r="R227" i="10"/>
  <c r="D227" i="10" s="1"/>
  <c r="R271" i="10"/>
  <c r="D271" i="10" s="1"/>
  <c r="R218" i="10"/>
  <c r="D218" i="10" s="1"/>
  <c r="R65" i="10"/>
  <c r="D65" i="10" s="1"/>
  <c r="R142" i="10"/>
  <c r="D142" i="10" s="1"/>
  <c r="R53" i="10"/>
  <c r="D53" i="10" s="1"/>
  <c r="R138" i="10"/>
  <c r="D138" i="10" s="1"/>
  <c r="R40" i="10"/>
  <c r="D40" i="10" s="1"/>
  <c r="R318" i="10"/>
  <c r="D318" i="10" s="1"/>
  <c r="R261" i="10"/>
  <c r="D261" i="10" s="1"/>
  <c r="R206" i="10"/>
  <c r="D206" i="10" s="1"/>
  <c r="R311" i="10"/>
  <c r="D311" i="10" s="1"/>
  <c r="R236" i="10"/>
  <c r="D236" i="10" s="1"/>
  <c r="R87" i="10"/>
  <c r="D87" i="10" s="1"/>
  <c r="R54" i="10"/>
  <c r="D54" i="10" s="1"/>
  <c r="R149" i="10"/>
  <c r="D149" i="10" s="1"/>
  <c r="R126" i="10"/>
  <c r="D126" i="10" s="1"/>
  <c r="R68" i="10"/>
  <c r="D68" i="10" s="1"/>
  <c r="R177" i="10"/>
  <c r="D177" i="10" s="1"/>
  <c r="R264" i="10"/>
  <c r="D264" i="10" s="1"/>
  <c r="R245" i="10"/>
  <c r="D245" i="10" s="1"/>
  <c r="R304" i="10"/>
  <c r="D304" i="10" s="1"/>
  <c r="R200" i="10"/>
  <c r="D200" i="10" s="1"/>
  <c r="R240" i="10"/>
  <c r="D240" i="10" s="1"/>
  <c r="R297" i="10"/>
  <c r="D297" i="10" s="1"/>
  <c r="R72" i="10"/>
  <c r="D72" i="10" s="1"/>
  <c r="R174" i="10"/>
  <c r="D174" i="10" s="1"/>
  <c r="R109" i="10"/>
  <c r="D109" i="10" s="1"/>
  <c r="R253" i="10"/>
  <c r="D253" i="10" s="1"/>
  <c r="R237" i="10"/>
  <c r="D237" i="10" s="1"/>
  <c r="R198" i="10"/>
  <c r="D198" i="10" s="1"/>
  <c r="R288" i="10"/>
  <c r="D288" i="10" s="1"/>
  <c r="R21" i="10"/>
  <c r="D21" i="10" s="1"/>
  <c r="R48" i="10"/>
  <c r="D48" i="10" s="1"/>
  <c r="R98" i="10"/>
  <c r="D98" i="10" s="1"/>
  <c r="R165" i="10"/>
  <c r="D165" i="10" s="1"/>
  <c r="R269" i="10"/>
  <c r="D269" i="10" s="1"/>
  <c r="R140" i="10"/>
  <c r="D140" i="10" s="1"/>
  <c r="R121" i="10"/>
  <c r="D121" i="10" s="1"/>
  <c r="R214" i="10"/>
  <c r="D214" i="10" s="1"/>
  <c r="R257" i="10"/>
  <c r="D257" i="10" s="1"/>
  <c r="R152" i="10"/>
  <c r="D152" i="10" s="1"/>
  <c r="R176" i="10"/>
  <c r="D176" i="10" s="1"/>
  <c r="R127" i="10"/>
  <c r="D127" i="10" s="1"/>
  <c r="R229" i="10"/>
  <c r="D229" i="10" s="1"/>
  <c r="R50" i="10"/>
  <c r="D50" i="10" s="1"/>
  <c r="R11" i="10"/>
  <c r="D11" i="10" s="1"/>
  <c r="R46" i="10"/>
  <c r="D46" i="10" s="1"/>
  <c r="R49" i="10"/>
  <c r="D49" i="10" s="1"/>
  <c r="R180" i="10"/>
  <c r="D180" i="10" s="1"/>
  <c r="S12" i="10"/>
  <c r="E12" i="10" s="1"/>
  <c r="G12" i="10"/>
  <c r="S208" i="10"/>
  <c r="E208" i="10" s="1"/>
  <c r="R151" i="10"/>
  <c r="D151" i="10" s="1"/>
  <c r="R299" i="10"/>
  <c r="D299" i="10" s="1"/>
  <c r="R157" i="10"/>
  <c r="D157" i="10" s="1"/>
  <c r="R310" i="10"/>
  <c r="D310" i="10" s="1"/>
  <c r="R186" i="10"/>
  <c r="D186" i="10" s="1"/>
  <c r="R102" i="10"/>
  <c r="D102" i="10" s="1"/>
  <c r="R81" i="10"/>
  <c r="D81" i="10" s="1"/>
  <c r="R274" i="10"/>
  <c r="D274" i="10" s="1"/>
  <c r="R164" i="10"/>
  <c r="D164" i="10" s="1"/>
  <c r="R158" i="10"/>
  <c r="D158" i="10" s="1"/>
  <c r="R92" i="10"/>
  <c r="D92" i="10" s="1"/>
  <c r="R296" i="10"/>
  <c r="D296" i="10" s="1"/>
  <c r="R286" i="10"/>
  <c r="D286" i="10" s="1"/>
  <c r="R128" i="10"/>
  <c r="D128" i="10" s="1"/>
  <c r="R231" i="10"/>
  <c r="D231" i="10" s="1"/>
  <c r="R178" i="10"/>
  <c r="D178" i="10" s="1"/>
  <c r="R219" i="10"/>
  <c r="D219" i="10" s="1"/>
  <c r="S219" i="10"/>
  <c r="E219" i="10" s="1"/>
  <c r="R19" i="10"/>
  <c r="D19" i="10" s="1"/>
  <c r="R278" i="10"/>
  <c r="D278" i="10" s="1"/>
  <c r="R131" i="10"/>
  <c r="D131" i="10" s="1"/>
  <c r="R55" i="10"/>
  <c r="D55" i="10" s="1"/>
  <c r="R199" i="10"/>
  <c r="D199" i="10" s="1"/>
  <c r="R173" i="10"/>
  <c r="D173" i="10" s="1"/>
  <c r="R192" i="10"/>
  <c r="D192" i="10" s="1"/>
  <c r="R260" i="10"/>
  <c r="D260" i="10" s="1"/>
  <c r="R94" i="10"/>
  <c r="D94" i="10" s="1"/>
  <c r="R67" i="10"/>
  <c r="D67" i="10" s="1"/>
  <c r="R63" i="10"/>
  <c r="D63" i="10" s="1"/>
  <c r="R154" i="10"/>
  <c r="D154" i="10" s="1"/>
  <c r="R248" i="10"/>
  <c r="D248" i="10" s="1"/>
  <c r="R268" i="10"/>
  <c r="D268" i="10" s="1"/>
  <c r="R32" i="10"/>
  <c r="D32" i="10" s="1"/>
  <c r="R24" i="10"/>
  <c r="D24" i="10" s="1"/>
  <c r="R76" i="10"/>
  <c r="D76" i="10" s="1"/>
  <c r="R287" i="10"/>
  <c r="D287" i="10" s="1"/>
  <c r="R241" i="10"/>
  <c r="D241" i="10" s="1"/>
  <c r="R133" i="10"/>
  <c r="D133" i="10" s="1"/>
  <c r="R213" i="10"/>
  <c r="D213" i="10" s="1"/>
  <c r="R136" i="10"/>
  <c r="D136" i="10" s="1"/>
  <c r="R86" i="10"/>
  <c r="D86" i="10" s="1"/>
  <c r="R201" i="10"/>
  <c r="D201" i="10" s="1"/>
  <c r="R60" i="10"/>
  <c r="D60" i="10" s="1"/>
  <c r="R56" i="10"/>
  <c r="D56" i="10" s="1"/>
  <c r="R185" i="10"/>
  <c r="D185" i="10" s="1"/>
  <c r="R216" i="10"/>
  <c r="D216" i="10" s="1"/>
  <c r="R33" i="10"/>
  <c r="D33" i="10" s="1"/>
  <c r="R166" i="10"/>
  <c r="D166" i="10" s="1"/>
  <c r="R291" i="10"/>
  <c r="D291" i="10" s="1"/>
  <c r="R305" i="10"/>
  <c r="D305" i="10" s="1"/>
  <c r="R171" i="10"/>
  <c r="D171" i="10" s="1"/>
  <c r="R101" i="10"/>
  <c r="D101" i="10" s="1"/>
  <c r="R37" i="10"/>
  <c r="D37" i="10" s="1"/>
  <c r="R204" i="10"/>
  <c r="D204" i="10" s="1"/>
  <c r="R30" i="10"/>
  <c r="D30" i="10" s="1"/>
  <c r="R279" i="10"/>
  <c r="D279" i="10" s="1"/>
  <c r="R107" i="10"/>
  <c r="D107" i="10" s="1"/>
  <c r="R122" i="10"/>
  <c r="D122" i="10" s="1"/>
  <c r="R195" i="10"/>
  <c r="D195" i="10" s="1"/>
  <c r="R78" i="10"/>
  <c r="D78" i="10" s="1"/>
  <c r="R17" i="10"/>
  <c r="D17" i="10" s="1"/>
  <c r="R89" i="10"/>
  <c r="D89" i="10" s="1"/>
  <c r="R169" i="10"/>
  <c r="D169" i="10" s="1"/>
  <c r="R258" i="10"/>
  <c r="D258" i="10" s="1"/>
  <c r="R234" i="10"/>
  <c r="D234" i="10" s="1"/>
  <c r="R314" i="10"/>
  <c r="D314" i="10" s="1"/>
  <c r="R18" i="10"/>
  <c r="R22" i="10"/>
  <c r="D22" i="10" s="1"/>
  <c r="R113" i="10"/>
  <c r="D113" i="10" s="1"/>
  <c r="R303" i="10"/>
  <c r="D303" i="10" s="1"/>
  <c r="R90" i="10"/>
  <c r="D90" i="10" s="1"/>
  <c r="R123" i="10"/>
  <c r="D123" i="10" s="1"/>
  <c r="R212" i="10"/>
  <c r="D212" i="10" s="1"/>
  <c r="R181" i="10"/>
  <c r="D181" i="10" s="1"/>
  <c r="R270" i="10"/>
  <c r="D270" i="10" s="1"/>
  <c r="R99" i="10"/>
  <c r="D99" i="10" s="1"/>
  <c r="R42" i="10"/>
  <c r="D42" i="10" s="1"/>
  <c r="R189" i="10"/>
  <c r="D189" i="10" s="1"/>
  <c r="S222" i="10"/>
  <c r="E222" i="10" s="1"/>
  <c r="G222" i="10"/>
  <c r="R119" i="10"/>
  <c r="D119" i="10" s="1"/>
  <c r="R105" i="10"/>
  <c r="D105" i="10" s="1"/>
  <c r="R302" i="10"/>
  <c r="D302" i="10" s="1"/>
  <c r="R150" i="10"/>
  <c r="D150" i="10" s="1"/>
  <c r="R83" i="10"/>
  <c r="D83" i="10" s="1"/>
  <c r="R175" i="10"/>
  <c r="D175" i="10" s="1"/>
  <c r="R57" i="10"/>
  <c r="D57" i="10" s="1"/>
  <c r="R62" i="10"/>
  <c r="D62" i="10" s="1"/>
  <c r="R309" i="10"/>
  <c r="D309" i="10" s="1"/>
  <c r="R69" i="10"/>
  <c r="D69" i="10" s="1"/>
  <c r="R221" i="10"/>
  <c r="D221" i="10" s="1"/>
  <c r="R207" i="10"/>
  <c r="D207" i="10" s="1"/>
  <c r="R254" i="10"/>
  <c r="D254" i="10" s="1"/>
  <c r="R238" i="10"/>
  <c r="D238" i="10" s="1"/>
  <c r="R281" i="10"/>
  <c r="D281" i="10" s="1"/>
  <c r="R129" i="10"/>
  <c r="D129" i="10" s="1"/>
  <c r="R191" i="10"/>
  <c r="D191" i="10" s="1"/>
  <c r="R79" i="10"/>
  <c r="D79" i="10" s="1"/>
  <c r="S246" i="10"/>
  <c r="E246" i="10" s="1"/>
  <c r="R91" i="10"/>
  <c r="D91" i="10" s="1"/>
  <c r="R315" i="10"/>
  <c r="D315" i="10" s="1"/>
  <c r="R249" i="10"/>
  <c r="D249" i="10" s="1"/>
  <c r="R28" i="10"/>
  <c r="D28" i="10" s="1"/>
  <c r="R134" i="10"/>
  <c r="D134" i="10" s="1"/>
  <c r="R243" i="10"/>
  <c r="D243" i="10" s="1"/>
  <c r="R31" i="10"/>
  <c r="D31" i="10" s="1"/>
  <c r="R130" i="10"/>
  <c r="D130" i="10" s="1"/>
  <c r="R117" i="10"/>
  <c r="D117" i="10" s="1"/>
  <c r="R70" i="10"/>
  <c r="D70" i="10" s="1"/>
  <c r="R156" i="10"/>
  <c r="D156" i="10" s="1"/>
  <c r="R294" i="10"/>
  <c r="D294" i="10" s="1"/>
  <c r="R118" i="10"/>
  <c r="D118" i="10" s="1"/>
  <c r="R71" i="10"/>
  <c r="D71" i="10" s="1"/>
  <c r="R137" i="10"/>
  <c r="D137" i="10" s="1"/>
  <c r="R16" i="10"/>
  <c r="D16" i="10" s="1"/>
  <c r="R197" i="10"/>
  <c r="D197" i="10" s="1"/>
  <c r="R205" i="10"/>
  <c r="D205" i="10" s="1"/>
  <c r="R144" i="10"/>
  <c r="D144" i="10" s="1"/>
  <c r="R93" i="10"/>
  <c r="D93" i="10" s="1"/>
  <c r="R85" i="10"/>
  <c r="D85" i="10" s="1"/>
  <c r="R277" i="10"/>
  <c r="D277" i="10" s="1"/>
  <c r="R58" i="10"/>
  <c r="D58" i="10" s="1"/>
  <c r="R265" i="10"/>
  <c r="D265" i="10" s="1"/>
  <c r="R276" i="10"/>
  <c r="D276" i="10" s="1"/>
  <c r="R14" i="10"/>
  <c r="D14" i="10" s="1"/>
  <c r="R259" i="10"/>
  <c r="D259" i="10" s="1"/>
  <c r="R179" i="10"/>
  <c r="D179" i="10" s="1"/>
  <c r="S225" i="10"/>
  <c r="E225" i="10" s="1"/>
  <c r="G225" i="10"/>
  <c r="R308" i="10"/>
  <c r="D308" i="10" s="1"/>
  <c r="R120" i="10"/>
  <c r="D120" i="10" s="1"/>
  <c r="R215" i="10"/>
  <c r="D215" i="10" s="1"/>
  <c r="R316" i="10"/>
  <c r="D316" i="10" s="1"/>
  <c r="R255" i="10"/>
  <c r="D255" i="10" s="1"/>
  <c r="R167" i="10"/>
  <c r="D167" i="10" s="1"/>
  <c r="R168" i="10"/>
  <c r="D168" i="10" s="1"/>
  <c r="R64" i="10"/>
  <c r="D64" i="10" s="1"/>
  <c r="R184" i="10"/>
  <c r="D184" i="10" s="1"/>
  <c r="R282" i="10"/>
  <c r="D282" i="10" s="1"/>
  <c r="R95" i="10"/>
  <c r="D95" i="10" s="1"/>
  <c r="R66" i="10"/>
  <c r="D66" i="10" s="1"/>
  <c r="R59" i="10"/>
  <c r="D59" i="10" s="1"/>
  <c r="R210" i="10"/>
  <c r="D210" i="10" s="1"/>
  <c r="R263" i="10"/>
  <c r="D263" i="10" s="1"/>
  <c r="R26" i="10"/>
  <c r="D26" i="10" s="1"/>
  <c r="R20" i="10"/>
  <c r="D20" i="10" s="1"/>
  <c r="R163" i="10"/>
  <c r="D163" i="10" s="1"/>
  <c r="R250" i="10"/>
  <c r="D250" i="10" s="1"/>
  <c r="R252" i="10"/>
  <c r="D252" i="10" s="1"/>
  <c r="G225" i="9"/>
  <c r="AI223" i="22" s="1"/>
  <c r="AJ223" i="22" s="1"/>
  <c r="G222" i="9"/>
  <c r="AI220" i="22" s="1"/>
  <c r="AJ220" i="22" s="1"/>
  <c r="L225" i="9"/>
  <c r="M225" i="9" s="1"/>
  <c r="C318" i="10"/>
  <c r="G12" i="9"/>
  <c r="AI10" i="22" s="1"/>
  <c r="L12" i="9"/>
  <c r="M12" i="9" s="1"/>
  <c r="L196" i="9"/>
  <c r="M196" i="9" s="1"/>
  <c r="F219" i="10"/>
  <c r="F111" i="10"/>
  <c r="F275" i="10"/>
  <c r="D211" i="10"/>
  <c r="F171" i="10"/>
  <c r="F225" i="10"/>
  <c r="F208" i="10"/>
  <c r="F222" i="10"/>
  <c r="AJ13" i="22"/>
  <c r="O313" i="18"/>
  <c r="N313" i="18"/>
  <c r="Q209" i="18"/>
  <c r="F213" i="10"/>
  <c r="Q132" i="18"/>
  <c r="Q18" i="18"/>
  <c r="Q9" i="18"/>
  <c r="F14" i="10"/>
  <c r="Q302" i="18"/>
  <c r="F311" i="10"/>
  <c r="Q138" i="18"/>
  <c r="Q188" i="18"/>
  <c r="F195" i="10"/>
  <c r="Q8" i="18"/>
  <c r="Q272" i="18"/>
  <c r="Q214" i="18"/>
  <c r="F218" i="10"/>
  <c r="Q170" i="18"/>
  <c r="Q259" i="18"/>
  <c r="Q42" i="18"/>
  <c r="Q173" i="18"/>
  <c r="Q60" i="18"/>
  <c r="Q240" i="18"/>
  <c r="F245" i="10"/>
  <c r="Q228" i="18"/>
  <c r="F233" i="10"/>
  <c r="Q79" i="18"/>
  <c r="F85" i="10"/>
  <c r="Q195" i="18"/>
  <c r="F200" i="10"/>
  <c r="Q61" i="18"/>
  <c r="Q158" i="18"/>
  <c r="Q37" i="18"/>
  <c r="Q254" i="18"/>
  <c r="F260" i="10"/>
  <c r="Q125" i="18"/>
  <c r="Q127" i="18"/>
  <c r="F135" i="10"/>
  <c r="Q278" i="18"/>
  <c r="Q267" i="18"/>
  <c r="F274" i="10"/>
  <c r="Q72" i="18"/>
  <c r="Q239" i="18"/>
  <c r="F244" i="10"/>
  <c r="Q148" i="18"/>
  <c r="Q286" i="18"/>
  <c r="F294" i="10"/>
  <c r="Q6" i="18"/>
  <c r="Q229" i="18"/>
  <c r="F234" i="10"/>
  <c r="Q268" i="18"/>
  <c r="F276" i="10"/>
  <c r="Q50" i="18"/>
  <c r="F56" i="10"/>
  <c r="Q197" i="18"/>
  <c r="Q168" i="18"/>
  <c r="F175" i="10"/>
  <c r="Q265" i="18"/>
  <c r="Q145" i="18"/>
  <c r="F151" i="10"/>
  <c r="Q210" i="18"/>
  <c r="Q216" i="18"/>
  <c r="F221" i="10"/>
  <c r="Q33" i="18"/>
  <c r="F39" i="10"/>
  <c r="Q93" i="18"/>
  <c r="Q242" i="18"/>
  <c r="Q118" i="18"/>
  <c r="Q21" i="18"/>
  <c r="F27" i="10"/>
  <c r="Q124" i="18"/>
  <c r="Q284" i="18"/>
  <c r="Q29" i="18"/>
  <c r="F35" i="10"/>
  <c r="Q119" i="18"/>
  <c r="F127" i="10"/>
  <c r="Q110" i="18"/>
  <c r="Q70" i="18"/>
  <c r="Q157" i="18"/>
  <c r="F164" i="10"/>
  <c r="Q174" i="18"/>
  <c r="Q280" i="18"/>
  <c r="Q94" i="18"/>
  <c r="Q218" i="18"/>
  <c r="F223" i="10"/>
  <c r="Q165" i="18"/>
  <c r="Q62" i="18"/>
  <c r="Q12" i="18"/>
  <c r="Q298" i="18"/>
  <c r="Q245" i="18"/>
  <c r="F250" i="10"/>
  <c r="Q207" i="18"/>
  <c r="Q202" i="18"/>
  <c r="F207" i="10"/>
  <c r="Q271" i="18"/>
  <c r="Q39" i="18"/>
  <c r="Q137" i="18"/>
  <c r="Q296" i="18"/>
  <c r="Q222" i="18"/>
  <c r="Q98" i="18"/>
  <c r="Q294" i="18"/>
  <c r="Q261" i="18"/>
  <c r="F268" i="10"/>
  <c r="Q41" i="18"/>
  <c r="Q105" i="18"/>
  <c r="Q187" i="18"/>
  <c r="Q116" i="18"/>
  <c r="Q166" i="18"/>
  <c r="Q48" i="18"/>
  <c r="Q184" i="18"/>
  <c r="Q252" i="18"/>
  <c r="Q34" i="18"/>
  <c r="Q190" i="18"/>
  <c r="Q189" i="18"/>
  <c r="Q250" i="18"/>
  <c r="F256" i="10"/>
  <c r="Q156" i="18"/>
  <c r="Q206" i="18"/>
  <c r="F210" i="10"/>
  <c r="Q63" i="18"/>
  <c r="Q215" i="18"/>
  <c r="Q198" i="18"/>
  <c r="F203" i="10"/>
  <c r="Q40" i="18"/>
  <c r="F46" i="10"/>
  <c r="Q221" i="18"/>
  <c r="F226" i="10"/>
  <c r="Q225" i="18"/>
  <c r="F230" i="10"/>
  <c r="Q66" i="18"/>
  <c r="Q47" i="18"/>
  <c r="F53" i="10"/>
  <c r="Q27" i="18"/>
  <c r="Q36" i="18"/>
  <c r="Q24" i="18"/>
  <c r="Q67" i="18"/>
  <c r="Q201" i="18"/>
  <c r="Q160" i="18"/>
  <c r="Q264" i="18"/>
  <c r="Q257" i="18"/>
  <c r="F263" i="10"/>
  <c r="Q249" i="18"/>
  <c r="F255" i="10"/>
  <c r="Q15" i="18"/>
  <c r="F21" i="10"/>
  <c r="Q153" i="18"/>
  <c r="F160" i="10"/>
  <c r="Q43" i="18"/>
  <c r="Q224" i="18"/>
  <c r="Q139" i="18"/>
  <c r="F145" i="10"/>
  <c r="Q75" i="18"/>
  <c r="Q212" i="18"/>
  <c r="Q269" i="18"/>
  <c r="Q176" i="18"/>
  <c r="Q101" i="18"/>
  <c r="Q146" i="18"/>
  <c r="Q143" i="18"/>
  <c r="Q90" i="18"/>
  <c r="Q258" i="18"/>
  <c r="Q142" i="18"/>
  <c r="Q74" i="18"/>
  <c r="Q78" i="18"/>
  <c r="Q288" i="18"/>
  <c r="F296" i="10"/>
  <c r="Q248" i="18"/>
  <c r="Q99" i="18"/>
  <c r="Q97" i="18"/>
  <c r="F103" i="10"/>
  <c r="Q287" i="18"/>
  <c r="F295" i="10"/>
  <c r="Q155" i="18"/>
  <c r="Q213" i="18"/>
  <c r="Q181" i="18"/>
  <c r="Q171" i="18"/>
  <c r="Q192" i="18"/>
  <c r="Q163" i="18"/>
  <c r="Q247" i="18"/>
  <c r="Q102" i="18"/>
  <c r="Q122" i="18"/>
  <c r="Q13" i="18"/>
  <c r="Q244" i="18"/>
  <c r="F249" i="10"/>
  <c r="Q85" i="18"/>
  <c r="Q16" i="18"/>
  <c r="Q180" i="18"/>
  <c r="Q251" i="18"/>
  <c r="Q149" i="18"/>
  <c r="Q270" i="18"/>
  <c r="F278" i="10"/>
  <c r="Q126" i="18"/>
  <c r="Q211" i="18"/>
  <c r="Q172" i="18"/>
  <c r="Q243" i="18"/>
  <c r="Q23" i="18"/>
  <c r="Q283" i="18"/>
  <c r="Q111" i="18"/>
  <c r="Q301" i="18"/>
  <c r="Q123" i="18"/>
  <c r="Q121" i="18"/>
  <c r="Q304" i="18"/>
  <c r="F313" i="10"/>
  <c r="Q54" i="18"/>
  <c r="Q293" i="18"/>
  <c r="Q246" i="18"/>
  <c r="Q236" i="18"/>
  <c r="Q17" i="18"/>
  <c r="Q129" i="18"/>
  <c r="Q232" i="18"/>
  <c r="Q167" i="18"/>
  <c r="Q53" i="18"/>
  <c r="Q223" i="18"/>
  <c r="F228" i="10"/>
  <c r="Q28" i="18"/>
  <c r="Q262" i="18"/>
  <c r="Q289" i="18"/>
  <c r="Q73" i="18"/>
  <c r="F79" i="10"/>
  <c r="Q80" i="18"/>
  <c r="Q22" i="18"/>
  <c r="Q91" i="18"/>
  <c r="Q303" i="18"/>
  <c r="Q103" i="18"/>
  <c r="Q51" i="18"/>
  <c r="Q231" i="18"/>
  <c r="F236" i="10"/>
  <c r="Q69" i="18"/>
  <c r="Q71" i="18"/>
  <c r="Q279" i="18"/>
  <c r="Q291" i="18"/>
  <c r="F299" i="10"/>
  <c r="Q134" i="18"/>
  <c r="Q114" i="18"/>
  <c r="Q49" i="18"/>
  <c r="Q277" i="18"/>
  <c r="Q100" i="18"/>
  <c r="Q152" i="18"/>
  <c r="Q46" i="18"/>
  <c r="Q84" i="18"/>
  <c r="Q260" i="18"/>
  <c r="Q87" i="18"/>
  <c r="Q26" i="18"/>
  <c r="F32" i="10"/>
  <c r="Q128" i="18"/>
  <c r="Q233" i="18"/>
  <c r="F238" i="10"/>
  <c r="Q194" i="18"/>
  <c r="F199" i="10"/>
  <c r="Q19" i="18"/>
  <c r="F25" i="10"/>
  <c r="Q162" i="18"/>
  <c r="Q20" i="18"/>
  <c r="Q64" i="18"/>
  <c r="Q263" i="18"/>
  <c r="Q45" i="18"/>
  <c r="Q310" i="18"/>
  <c r="Q106" i="18"/>
  <c r="F110" i="10"/>
  <c r="Q55" i="18"/>
  <c r="Q297" i="18"/>
  <c r="Q282" i="18"/>
  <c r="F290" i="10"/>
  <c r="Q200" i="18"/>
  <c r="F205" i="10"/>
  <c r="Q175" i="18"/>
  <c r="Q295" i="18"/>
  <c r="Q161" i="18"/>
  <c r="F168" i="10"/>
  <c r="Q159" i="18"/>
  <c r="Q226" i="18"/>
  <c r="F231" i="10"/>
  <c r="Q185" i="18"/>
  <c r="Q58" i="18"/>
  <c r="F64" i="10"/>
  <c r="Q182" i="18"/>
  <c r="Q117" i="18"/>
  <c r="Q300" i="18"/>
  <c r="Q81" i="18"/>
  <c r="Q306" i="18"/>
  <c r="Q144" i="18"/>
  <c r="Q14" i="18"/>
  <c r="Q256" i="18"/>
  <c r="Q230" i="18"/>
  <c r="F235" i="10"/>
  <c r="G317" i="9"/>
  <c r="AI315" i="22" s="1"/>
  <c r="AJ315" i="22" s="1"/>
  <c r="L317" i="9"/>
  <c r="M317" i="9" s="1"/>
  <c r="Q38" i="18"/>
  <c r="Q199" i="18"/>
  <c r="F204" i="10"/>
  <c r="Q276" i="18"/>
  <c r="Q227" i="18"/>
  <c r="F232" i="10"/>
  <c r="Q77" i="18"/>
  <c r="F83" i="10"/>
  <c r="Q183" i="18"/>
  <c r="F190" i="10"/>
  <c r="Q154" i="18"/>
  <c r="Q274" i="18"/>
  <c r="Q35" i="18"/>
  <c r="Q136" i="18"/>
  <c r="F142" i="10"/>
  <c r="Q253" i="18"/>
  <c r="F259" i="10"/>
  <c r="Q150" i="18"/>
  <c r="F156" i="10"/>
  <c r="Q238" i="18"/>
  <c r="F243" i="10"/>
  <c r="Q133" i="18"/>
  <c r="Q76" i="18"/>
  <c r="Q130" i="18"/>
  <c r="Q52" i="18"/>
  <c r="Q307" i="18"/>
  <c r="Q273" i="18"/>
  <c r="Q193" i="18"/>
  <c r="F158" i="10"/>
  <c r="Q131" i="18"/>
  <c r="F139" i="10"/>
  <c r="Q86" i="18"/>
  <c r="F92" i="10"/>
  <c r="Q107" i="18"/>
  <c r="Q135" i="18"/>
  <c r="Q57" i="18"/>
  <c r="F63" i="10"/>
  <c r="Q88" i="18"/>
  <c r="Q141" i="18"/>
  <c r="Q11" i="18"/>
  <c r="F16" i="10"/>
  <c r="Q178" i="18"/>
  <c r="Q112" i="18"/>
  <c r="Q92" i="18"/>
  <c r="F98" i="10"/>
  <c r="Q281" i="18"/>
  <c r="F289" i="10"/>
  <c r="Q205" i="18"/>
  <c r="Q208" i="18"/>
  <c r="F212" i="10"/>
  <c r="Q237" i="18"/>
  <c r="Q266" i="18"/>
  <c r="Q235" i="18"/>
  <c r="Q290" i="18"/>
  <c r="Q108" i="18"/>
  <c r="F116" i="10"/>
  <c r="Q169" i="18"/>
  <c r="Q151" i="18"/>
  <c r="Q196" i="18"/>
  <c r="F201" i="10"/>
  <c r="Q255" i="18"/>
  <c r="Q32" i="18"/>
  <c r="F38" i="10"/>
  <c r="Q83" i="18"/>
  <c r="Q177" i="18"/>
  <c r="F184" i="10"/>
  <c r="Q25" i="18"/>
  <c r="Q113" i="18"/>
  <c r="Q96" i="18"/>
  <c r="F102" i="10"/>
  <c r="Q179" i="18"/>
  <c r="F186" i="10"/>
  <c r="Q44" i="18"/>
  <c r="Q109" i="18"/>
  <c r="Q68" i="18"/>
  <c r="Q147" i="18"/>
  <c r="F153" i="10"/>
  <c r="Q285" i="18"/>
  <c r="F293" i="10"/>
  <c r="Q89" i="18"/>
  <c r="Q115" i="18"/>
  <c r="F123" i="10"/>
  <c r="Q82" i="18"/>
  <c r="I313" i="18"/>
  <c r="E100" i="30" l="1"/>
  <c r="AF244" i="22"/>
  <c r="G246" i="9" s="1"/>
  <c r="AI244" i="22" s="1"/>
  <c r="AJ244" i="22" s="1"/>
  <c r="AI109" i="22"/>
  <c r="AJ109" i="22" s="1"/>
  <c r="H112" i="9"/>
  <c r="W112" i="10" s="1"/>
  <c r="X112" i="10" s="1"/>
  <c r="AG244" i="22"/>
  <c r="L246" i="9" s="1"/>
  <c r="M246" i="9" s="1"/>
  <c r="G145" i="10"/>
  <c r="AG143" i="22"/>
  <c r="AF143" i="22"/>
  <c r="G145" i="9" s="1"/>
  <c r="AI143" i="22" s="1"/>
  <c r="AJ143" i="22" s="1"/>
  <c r="U169" i="10"/>
  <c r="G169" i="10" s="1"/>
  <c r="AG166" i="22"/>
  <c r="AF166" i="22"/>
  <c r="AI249" i="22"/>
  <c r="AJ249" i="22" s="1"/>
  <c r="H251" i="9"/>
  <c r="W251" i="10" s="1"/>
  <c r="X251" i="10" s="1"/>
  <c r="U109" i="10"/>
  <c r="G109" i="10" s="1"/>
  <c r="AF106" i="22"/>
  <c r="AG106" i="22"/>
  <c r="AI264" i="22"/>
  <c r="AJ264" i="22" s="1"/>
  <c r="H266" i="9"/>
  <c r="W266" i="10" s="1"/>
  <c r="X266" i="10" s="1"/>
  <c r="G61" i="10"/>
  <c r="AG58" i="22"/>
  <c r="AF58" i="22"/>
  <c r="AF209" i="22"/>
  <c r="G208" i="9" s="1"/>
  <c r="AI209" i="22" s="1"/>
  <c r="AJ209" i="22" s="1"/>
  <c r="AG209" i="22"/>
  <c r="L208" i="9" s="1"/>
  <c r="M208" i="9" s="1"/>
  <c r="G70" i="10"/>
  <c r="AG67" i="22"/>
  <c r="AF67" i="22"/>
  <c r="S125" i="10"/>
  <c r="E125" i="10" s="1"/>
  <c r="S32" i="10"/>
  <c r="E32" i="10" s="1"/>
  <c r="S243" i="10"/>
  <c r="E243" i="10" s="1"/>
  <c r="G243" i="10"/>
  <c r="S81" i="10"/>
  <c r="E81" i="10" s="1"/>
  <c r="S207" i="10"/>
  <c r="E207" i="10" s="1"/>
  <c r="G207" i="10"/>
  <c r="S76" i="10"/>
  <c r="E76" i="10" s="1"/>
  <c r="G76" i="10"/>
  <c r="S180" i="10"/>
  <c r="E180" i="10" s="1"/>
  <c r="S131" i="10"/>
  <c r="E131" i="10" s="1"/>
  <c r="G131" i="10"/>
  <c r="S312" i="10"/>
  <c r="G312" i="10"/>
  <c r="S47" i="10"/>
  <c r="E47" i="10" s="1"/>
  <c r="S173" i="10"/>
  <c r="E173" i="10" s="1"/>
  <c r="G173" i="10"/>
  <c r="S213" i="10"/>
  <c r="E213" i="10" s="1"/>
  <c r="G213" i="10"/>
  <c r="S193" i="10"/>
  <c r="E193" i="10" s="1"/>
  <c r="S211" i="10"/>
  <c r="E211" i="10" s="1"/>
  <c r="G211" i="10"/>
  <c r="S118" i="10"/>
  <c r="E118" i="10" s="1"/>
  <c r="G118" i="10"/>
  <c r="S151" i="10"/>
  <c r="E151" i="10" s="1"/>
  <c r="G151" i="10"/>
  <c r="S78" i="10"/>
  <c r="E78" i="10" s="1"/>
  <c r="G78" i="10"/>
  <c r="S117" i="10"/>
  <c r="E117" i="10" s="1"/>
  <c r="G117" i="10"/>
  <c r="S38" i="10"/>
  <c r="E38" i="10" s="1"/>
  <c r="S289" i="10"/>
  <c r="G289" i="10"/>
  <c r="S58" i="10"/>
  <c r="E58" i="10" s="1"/>
  <c r="G58" i="10"/>
  <c r="S59" i="10"/>
  <c r="E59" i="10" s="1"/>
  <c r="S212" i="10"/>
  <c r="E212" i="10" s="1"/>
  <c r="G212" i="10"/>
  <c r="S269" i="10"/>
  <c r="E269" i="10" s="1"/>
  <c r="G269" i="10"/>
  <c r="S308" i="10"/>
  <c r="E308" i="10" s="1"/>
  <c r="S136" i="10"/>
  <c r="E136" i="10" s="1"/>
  <c r="G136" i="10"/>
  <c r="S217" i="10"/>
  <c r="E217" i="10" s="1"/>
  <c r="S21" i="10"/>
  <c r="E21" i="10" s="1"/>
  <c r="S149" i="10"/>
  <c r="E149" i="10" s="1"/>
  <c r="G149" i="10"/>
  <c r="S304" i="10"/>
  <c r="E304" i="10" s="1"/>
  <c r="G304" i="10"/>
  <c r="S42" i="10"/>
  <c r="S163" i="10"/>
  <c r="E163" i="10" s="1"/>
  <c r="S124" i="10"/>
  <c r="E124" i="10" s="1"/>
  <c r="G124" i="10"/>
  <c r="S227" i="10"/>
  <c r="S283" i="10"/>
  <c r="E283" i="10" s="1"/>
  <c r="G283" i="10"/>
  <c r="S71" i="10"/>
  <c r="E71" i="10" s="1"/>
  <c r="G71" i="10"/>
  <c r="S123" i="10"/>
  <c r="E123" i="10" s="1"/>
  <c r="G123" i="10"/>
  <c r="S34" i="10"/>
  <c r="E34" i="10" s="1"/>
  <c r="S62" i="10"/>
  <c r="E62" i="10" s="1"/>
  <c r="G62" i="10"/>
  <c r="S35" i="10"/>
  <c r="E35" i="10" s="1"/>
  <c r="S175" i="10"/>
  <c r="E175" i="10" s="1"/>
  <c r="G175" i="10"/>
  <c r="S274" i="10"/>
  <c r="E274" i="10" s="1"/>
  <c r="G274" i="10"/>
  <c r="S67" i="10"/>
  <c r="E67" i="10" s="1"/>
  <c r="S261" i="10"/>
  <c r="E261" i="10" s="1"/>
  <c r="S16" i="10"/>
  <c r="E16" i="10" s="1"/>
  <c r="G16" i="10"/>
  <c r="S310" i="10"/>
  <c r="E310" i="10" s="1"/>
  <c r="S119" i="10"/>
  <c r="E119" i="10" s="1"/>
  <c r="G119" i="10"/>
  <c r="S185" i="10"/>
  <c r="E185" i="10" s="1"/>
  <c r="G185" i="10"/>
  <c r="S228" i="10"/>
  <c r="E228" i="10" s="1"/>
  <c r="S278" i="10"/>
  <c r="E278" i="10" s="1"/>
  <c r="S189" i="10"/>
  <c r="E189" i="10" s="1"/>
  <c r="G189" i="10"/>
  <c r="S114" i="10"/>
  <c r="E114" i="10" s="1"/>
  <c r="S93" i="10"/>
  <c r="E93" i="10" s="1"/>
  <c r="G93" i="10"/>
  <c r="S162" i="10"/>
  <c r="E162" i="10" s="1"/>
  <c r="G162" i="10"/>
  <c r="S285" i="10"/>
  <c r="E285" i="10" s="1"/>
  <c r="G285" i="10"/>
  <c r="S152" i="10"/>
  <c r="E152" i="10" s="1"/>
  <c r="S143" i="10"/>
  <c r="E143" i="10" s="1"/>
  <c r="G143" i="10"/>
  <c r="S53" i="10"/>
  <c r="E53" i="10" s="1"/>
  <c r="S256" i="10"/>
  <c r="E256" i="10" s="1"/>
  <c r="G256" i="10"/>
  <c r="S302" i="10"/>
  <c r="E302" i="10" s="1"/>
  <c r="G302" i="10"/>
  <c r="S195" i="10"/>
  <c r="E195" i="10" s="1"/>
  <c r="S37" i="10"/>
  <c r="E37" i="10" s="1"/>
  <c r="G37" i="10"/>
  <c r="S252" i="10"/>
  <c r="E252" i="10" s="1"/>
  <c r="G252" i="10"/>
  <c r="S250" i="10"/>
  <c r="E250" i="10" s="1"/>
  <c r="S98" i="10"/>
  <c r="E98" i="10" s="1"/>
  <c r="G98" i="10"/>
  <c r="S186" i="10"/>
  <c r="E186" i="10" s="1"/>
  <c r="G186" i="10"/>
  <c r="S267" i="10"/>
  <c r="E267" i="10" s="1"/>
  <c r="G267" i="10"/>
  <c r="S68" i="10"/>
  <c r="E68" i="10" s="1"/>
  <c r="G68" i="10"/>
  <c r="S132" i="10"/>
  <c r="E132" i="10" s="1"/>
  <c r="G132" i="10"/>
  <c r="S56" i="10"/>
  <c r="E56" i="10" s="1"/>
  <c r="S95" i="10"/>
  <c r="E95" i="10" s="1"/>
  <c r="G95" i="10"/>
  <c r="S201" i="10"/>
  <c r="E201" i="10" s="1"/>
  <c r="G201" i="10"/>
  <c r="S94" i="10"/>
  <c r="E94" i="10" s="1"/>
  <c r="G94" i="10"/>
  <c r="S257" i="10"/>
  <c r="E257" i="10" s="1"/>
  <c r="S215" i="10"/>
  <c r="E215" i="10" s="1"/>
  <c r="G215" i="10"/>
  <c r="S63" i="10"/>
  <c r="E63" i="10" s="1"/>
  <c r="S237" i="10"/>
  <c r="E237" i="10" s="1"/>
  <c r="G237" i="10"/>
  <c r="S249" i="10"/>
  <c r="E249" i="10" s="1"/>
  <c r="G249" i="10"/>
  <c r="S192" i="10"/>
  <c r="E192" i="10" s="1"/>
  <c r="G192" i="10"/>
  <c r="S51" i="10"/>
  <c r="E51" i="10" s="1"/>
  <c r="S90" i="10"/>
  <c r="E90" i="10" s="1"/>
  <c r="S255" i="10"/>
  <c r="E255" i="10" s="1"/>
  <c r="S259" i="10"/>
  <c r="E259" i="10" s="1"/>
  <c r="G259" i="10"/>
  <c r="S230" i="10"/>
  <c r="E230" i="10" s="1"/>
  <c r="G230" i="10"/>
  <c r="S40" i="10"/>
  <c r="E40" i="10" s="1"/>
  <c r="G40" i="10"/>
  <c r="S145" i="10"/>
  <c r="E145" i="10" s="1"/>
  <c r="S144" i="10"/>
  <c r="E144" i="10" s="1"/>
  <c r="G144" i="10"/>
  <c r="S110" i="10"/>
  <c r="E110" i="10" s="1"/>
  <c r="S80" i="10"/>
  <c r="E80" i="10" s="1"/>
  <c r="G80" i="10"/>
  <c r="S194" i="10"/>
  <c r="E194" i="10" s="1"/>
  <c r="G194" i="10"/>
  <c r="S146" i="10"/>
  <c r="E146" i="10" s="1"/>
  <c r="G146" i="10"/>
  <c r="S200" i="10"/>
  <c r="E200" i="10" s="1"/>
  <c r="S172" i="10"/>
  <c r="E172" i="10" s="1"/>
  <c r="G172" i="10"/>
  <c r="S27" i="10"/>
  <c r="E27" i="10" s="1"/>
  <c r="G27" i="10"/>
  <c r="S276" i="10"/>
  <c r="E276" i="10" s="1"/>
  <c r="G276" i="10"/>
  <c r="S135" i="10"/>
  <c r="E135" i="10" s="1"/>
  <c r="G135" i="10"/>
  <c r="S85" i="10"/>
  <c r="E85" i="10" s="1"/>
  <c r="G85" i="10"/>
  <c r="S157" i="10"/>
  <c r="E157" i="10" s="1"/>
  <c r="G157" i="10"/>
  <c r="S141" i="10"/>
  <c r="E141" i="10" s="1"/>
  <c r="G141" i="10"/>
  <c r="S91" i="10"/>
  <c r="E91" i="10" s="1"/>
  <c r="S155" i="10"/>
  <c r="E155" i="10" s="1"/>
  <c r="G155" i="10"/>
  <c r="S161" i="10"/>
  <c r="E161" i="10" s="1"/>
  <c r="G161" i="10"/>
  <c r="S137" i="10"/>
  <c r="E137" i="10" s="1"/>
  <c r="G137" i="10"/>
  <c r="S130" i="10"/>
  <c r="E130" i="10" s="1"/>
  <c r="S231" i="10"/>
  <c r="E231" i="10" s="1"/>
  <c r="G231" i="10"/>
  <c r="S270" i="10"/>
  <c r="E270" i="10" s="1"/>
  <c r="G270" i="10"/>
  <c r="S134" i="10"/>
  <c r="E134" i="10" s="1"/>
  <c r="G134" i="10"/>
  <c r="S103" i="10"/>
  <c r="E103" i="10" s="1"/>
  <c r="G103" i="10"/>
  <c r="S148" i="10"/>
  <c r="E148" i="10" s="1"/>
  <c r="G148" i="10"/>
  <c r="S107" i="10"/>
  <c r="S45" i="10"/>
  <c r="E45" i="10" s="1"/>
  <c r="G45" i="10"/>
  <c r="S226" i="10"/>
  <c r="E226" i="10" s="1"/>
  <c r="S258" i="10"/>
  <c r="E258" i="10" s="1"/>
  <c r="G258" i="10"/>
  <c r="S113" i="10"/>
  <c r="E113" i="10" s="1"/>
  <c r="G113" i="10"/>
  <c r="S311" i="10"/>
  <c r="E311" i="10" s="1"/>
  <c r="G311" i="10"/>
  <c r="S120" i="10"/>
  <c r="E120" i="10" s="1"/>
  <c r="S33" i="10"/>
  <c r="E33" i="10" s="1"/>
  <c r="G33" i="10"/>
  <c r="S174" i="10"/>
  <c r="E174" i="10" s="1"/>
  <c r="G174" i="10"/>
  <c r="S64" i="10"/>
  <c r="E64" i="10" s="1"/>
  <c r="G64" i="10"/>
  <c r="S167" i="10"/>
  <c r="E167" i="10" s="1"/>
  <c r="G167" i="10"/>
  <c r="S18" i="10"/>
  <c r="E18" i="10" s="1"/>
  <c r="S277" i="10"/>
  <c r="E277" i="10" s="1"/>
  <c r="S127" i="10"/>
  <c r="E127" i="10" s="1"/>
  <c r="G127" i="10"/>
  <c r="S48" i="10"/>
  <c r="E48" i="10" s="1"/>
  <c r="G48" i="10"/>
  <c r="S248" i="10"/>
  <c r="E248" i="10" s="1"/>
  <c r="G248" i="10"/>
  <c r="S61" i="10"/>
  <c r="E61" i="10" s="1"/>
  <c r="S52" i="10"/>
  <c r="E52" i="10" s="1"/>
  <c r="G52" i="10"/>
  <c r="S84" i="10"/>
  <c r="E84" i="10" s="1"/>
  <c r="G84" i="10"/>
  <c r="S183" i="10"/>
  <c r="E183" i="10" s="1"/>
  <c r="G183" i="10"/>
  <c r="S109" i="10"/>
  <c r="E109" i="10" s="1"/>
  <c r="S202" i="10"/>
  <c r="E202" i="10" s="1"/>
  <c r="G202" i="10"/>
  <c r="S179" i="10"/>
  <c r="E179" i="10" s="1"/>
  <c r="G179" i="10"/>
  <c r="S49" i="10"/>
  <c r="E49" i="10" s="1"/>
  <c r="G49" i="10"/>
  <c r="S223" i="10"/>
  <c r="E223" i="10" s="1"/>
  <c r="G223" i="10"/>
  <c r="S121" i="10"/>
  <c r="E121" i="10" s="1"/>
  <c r="G121" i="10"/>
  <c r="S108" i="10"/>
  <c r="E108" i="10" s="1"/>
  <c r="G108" i="10"/>
  <c r="S22" i="10"/>
  <c r="E22" i="10" s="1"/>
  <c r="G22" i="10"/>
  <c r="S23" i="10"/>
  <c r="E23" i="10" s="1"/>
  <c r="G23" i="10"/>
  <c r="S70" i="10"/>
  <c r="E70" i="10" s="1"/>
  <c r="S55" i="10"/>
  <c r="E55" i="10" s="1"/>
  <c r="G55" i="10"/>
  <c r="S77" i="10"/>
  <c r="E77" i="10" s="1"/>
  <c r="G77" i="10"/>
  <c r="S156" i="10"/>
  <c r="E156" i="10" s="1"/>
  <c r="G156" i="10"/>
  <c r="S100" i="10"/>
  <c r="E100" i="10" s="1"/>
  <c r="G100" i="10"/>
  <c r="S247" i="10"/>
  <c r="E247" i="10" s="1"/>
  <c r="G247" i="10"/>
  <c r="S133" i="10"/>
  <c r="E133" i="10" s="1"/>
  <c r="G133" i="10"/>
  <c r="S233" i="10"/>
  <c r="E233" i="10" s="1"/>
  <c r="G233" i="10"/>
  <c r="S116" i="10"/>
  <c r="E116" i="10" s="1"/>
  <c r="G116" i="10"/>
  <c r="S190" i="10"/>
  <c r="E190" i="10" s="1"/>
  <c r="G190" i="10"/>
  <c r="S50" i="10"/>
  <c r="E50" i="10" s="1"/>
  <c r="G50" i="10"/>
  <c r="S19" i="10"/>
  <c r="E19" i="10" s="1"/>
  <c r="G19" i="10"/>
  <c r="S139" i="10"/>
  <c r="E139" i="10" s="1"/>
  <c r="G139" i="10"/>
  <c r="S241" i="10"/>
  <c r="E241" i="10" s="1"/>
  <c r="G241" i="10"/>
  <c r="S262" i="10"/>
  <c r="E262" i="10" s="1"/>
  <c r="G262" i="10"/>
  <c r="S168" i="10"/>
  <c r="E168" i="10" s="1"/>
  <c r="G168" i="10"/>
  <c r="S26" i="10"/>
  <c r="E26" i="10" s="1"/>
  <c r="G26" i="10"/>
  <c r="S170" i="10"/>
  <c r="E170" i="10" s="1"/>
  <c r="G170" i="10"/>
  <c r="S105" i="10"/>
  <c r="E105" i="10" s="1"/>
  <c r="G105" i="10"/>
  <c r="S264" i="10"/>
  <c r="E264" i="10" s="1"/>
  <c r="G264" i="10"/>
  <c r="S75" i="10"/>
  <c r="E75" i="10" s="1"/>
  <c r="G75" i="10"/>
  <c r="S44" i="10"/>
  <c r="E44" i="10" s="1"/>
  <c r="G44" i="10"/>
  <c r="S203" i="10"/>
  <c r="E203" i="10" s="1"/>
  <c r="G203" i="10"/>
  <c r="S191" i="10"/>
  <c r="E191" i="10" s="1"/>
  <c r="G191" i="10"/>
  <c r="S28" i="10"/>
  <c r="E28" i="10" s="1"/>
  <c r="G28" i="10"/>
  <c r="S101" i="10"/>
  <c r="E101" i="10" s="1"/>
  <c r="G101" i="10"/>
  <c r="S111" i="10"/>
  <c r="E111" i="10" s="1"/>
  <c r="S165" i="10"/>
  <c r="E165" i="10" s="1"/>
  <c r="G165" i="10"/>
  <c r="S17" i="10"/>
  <c r="E17" i="10" s="1"/>
  <c r="G17" i="10"/>
  <c r="S282" i="10"/>
  <c r="E282" i="10" s="1"/>
  <c r="G282" i="10"/>
  <c r="S187" i="10"/>
  <c r="E187" i="10" s="1"/>
  <c r="G187" i="10"/>
  <c r="S14" i="10"/>
  <c r="E14" i="10" s="1"/>
  <c r="G14" i="10"/>
  <c r="S293" i="10"/>
  <c r="E293" i="10" s="1"/>
  <c r="G293" i="10"/>
  <c r="S115" i="10"/>
  <c r="E115" i="10" s="1"/>
  <c r="G115" i="10"/>
  <c r="S166" i="10"/>
  <c r="E166" i="10" s="1"/>
  <c r="G166" i="10"/>
  <c r="S79" i="10"/>
  <c r="E79" i="10" s="1"/>
  <c r="G79" i="10"/>
  <c r="S46" i="10"/>
  <c r="E46" i="10" s="1"/>
  <c r="G46" i="10"/>
  <c r="S288" i="10"/>
  <c r="E288" i="10" s="1"/>
  <c r="G288" i="10"/>
  <c r="S99" i="10"/>
  <c r="E99" i="10" s="1"/>
  <c r="G99" i="10"/>
  <c r="S153" i="10"/>
  <c r="E153" i="10" s="1"/>
  <c r="G153" i="10"/>
  <c r="S245" i="10"/>
  <c r="E245" i="10" s="1"/>
  <c r="G245" i="10"/>
  <c r="S240" i="10"/>
  <c r="E240" i="10" s="1"/>
  <c r="G240" i="10"/>
  <c r="S83" i="10"/>
  <c r="E83" i="10" s="1"/>
  <c r="G83" i="10"/>
  <c r="S102" i="10"/>
  <c r="E102" i="10" s="1"/>
  <c r="G102" i="10"/>
  <c r="S253" i="10"/>
  <c r="E253" i="10" s="1"/>
  <c r="G253" i="10"/>
  <c r="S158" i="10"/>
  <c r="E158" i="10" s="1"/>
  <c r="G158" i="10"/>
  <c r="S20" i="10"/>
  <c r="E20" i="10" s="1"/>
  <c r="G20" i="10"/>
  <c r="S169" i="10"/>
  <c r="E169" i="10" s="1"/>
  <c r="S198" i="10"/>
  <c r="E198" i="10" s="1"/>
  <c r="G198" i="10"/>
  <c r="S160" i="10"/>
  <c r="E160" i="10" s="1"/>
  <c r="G160" i="10"/>
  <c r="S263" i="10"/>
  <c r="E263" i="10" s="1"/>
  <c r="G263" i="10"/>
  <c r="S57" i="10"/>
  <c r="E57" i="10" s="1"/>
  <c r="G57" i="10"/>
  <c r="S41" i="10"/>
  <c r="E41" i="10" s="1"/>
  <c r="G41" i="10"/>
  <c r="S220" i="10"/>
  <c r="E220" i="10" s="1"/>
  <c r="G220" i="10"/>
  <c r="S268" i="10"/>
  <c r="E268" i="10" s="1"/>
  <c r="G268" i="10"/>
  <c r="S287" i="10"/>
  <c r="E287" i="10" s="1"/>
  <c r="G287" i="10"/>
  <c r="S24" i="10"/>
  <c r="E24" i="10" s="1"/>
  <c r="G24" i="10"/>
  <c r="S292" i="10"/>
  <c r="E292" i="10" s="1"/>
  <c r="G292" i="10"/>
  <c r="S177" i="10"/>
  <c r="E177" i="10" s="1"/>
  <c r="G177" i="10"/>
  <c r="S29" i="10"/>
  <c r="E29" i="10" s="1"/>
  <c r="G29" i="10"/>
  <c r="S197" i="10"/>
  <c r="E197" i="10" s="1"/>
  <c r="G197" i="10"/>
  <c r="S126" i="10"/>
  <c r="E126" i="10" s="1"/>
  <c r="G126" i="10"/>
  <c r="S235" i="10"/>
  <c r="E235" i="10" s="1"/>
  <c r="G235" i="10"/>
  <c r="S128" i="10"/>
  <c r="E128" i="10" s="1"/>
  <c r="G128" i="10"/>
  <c r="S181" i="10"/>
  <c r="E181" i="10" s="1"/>
  <c r="G181" i="10"/>
  <c r="S39" i="10"/>
  <c r="E39" i="10" s="1"/>
  <c r="G39" i="10"/>
  <c r="S154" i="10"/>
  <c r="E154" i="10" s="1"/>
  <c r="G154" i="10"/>
  <c r="S260" i="10"/>
  <c r="E260" i="10" s="1"/>
  <c r="G260" i="10"/>
  <c r="S184" i="10"/>
  <c r="E184" i="10" s="1"/>
  <c r="G184" i="10"/>
  <c r="S273" i="10"/>
  <c r="E273" i="10" s="1"/>
  <c r="G273" i="10"/>
  <c r="S218" i="10"/>
  <c r="E218" i="10" s="1"/>
  <c r="G218" i="10"/>
  <c r="S31" i="10"/>
  <c r="E31" i="10" s="1"/>
  <c r="G31" i="10"/>
  <c r="S97" i="10"/>
  <c r="E97" i="10" s="1"/>
  <c r="G97" i="10"/>
  <c r="S232" i="10"/>
  <c r="E232" i="10" s="1"/>
  <c r="G232" i="10"/>
  <c r="S60" i="10"/>
  <c r="E60" i="10" s="1"/>
  <c r="G60" i="10"/>
  <c r="S150" i="10"/>
  <c r="E150" i="10" s="1"/>
  <c r="G150" i="10"/>
  <c r="S182" i="10"/>
  <c r="E182" i="10" s="1"/>
  <c r="G182" i="10"/>
  <c r="S25" i="10"/>
  <c r="E25" i="10" s="1"/>
  <c r="G25" i="10"/>
  <c r="S229" i="10"/>
  <c r="E229" i="10" s="1"/>
  <c r="G229" i="10"/>
  <c r="S254" i="10"/>
  <c r="E254" i="10" s="1"/>
  <c r="G254" i="10"/>
  <c r="S122" i="10"/>
  <c r="E122" i="10" s="1"/>
  <c r="G122" i="10"/>
  <c r="S13" i="10"/>
  <c r="E13" i="10" s="1"/>
  <c r="G13" i="10"/>
  <c r="S206" i="10"/>
  <c r="E206" i="10" s="1"/>
  <c r="G206" i="10"/>
  <c r="S69" i="10"/>
  <c r="E69" i="10" s="1"/>
  <c r="G69" i="10"/>
  <c r="S54" i="10"/>
  <c r="E54" i="10" s="1"/>
  <c r="G54" i="10"/>
  <c r="S138" i="10"/>
  <c r="E138" i="10" s="1"/>
  <c r="G138" i="10"/>
  <c r="S86" i="10"/>
  <c r="E86" i="10" s="1"/>
  <c r="G86" i="10"/>
  <c r="S300" i="10"/>
  <c r="E300" i="10" s="1"/>
  <c r="G300" i="10"/>
  <c r="S147" i="10"/>
  <c r="E147" i="10" s="1"/>
  <c r="G147" i="10"/>
  <c r="S72" i="10"/>
  <c r="E72" i="10" s="1"/>
  <c r="G72" i="10"/>
  <c r="S234" i="10"/>
  <c r="E234" i="10" s="1"/>
  <c r="G234" i="10"/>
  <c r="S176" i="10"/>
  <c r="E176" i="10" s="1"/>
  <c r="G176" i="10"/>
  <c r="S92" i="10"/>
  <c r="E92" i="10" s="1"/>
  <c r="G92" i="10"/>
  <c r="S159" i="10"/>
  <c r="E159" i="10" s="1"/>
  <c r="G159" i="10"/>
  <c r="S142" i="10"/>
  <c r="E142" i="10" s="1"/>
  <c r="G142" i="10"/>
  <c r="S104" i="10"/>
  <c r="E104" i="10" s="1"/>
  <c r="G104" i="10"/>
  <c r="S164" i="10"/>
  <c r="E164" i="10" s="1"/>
  <c r="G164" i="10"/>
  <c r="S221" i="10"/>
  <c r="E221" i="10" s="1"/>
  <c r="G221" i="10"/>
  <c r="S88" i="10"/>
  <c r="E88" i="10" s="1"/>
  <c r="G88" i="10"/>
  <c r="S74" i="10"/>
  <c r="E74" i="10" s="1"/>
  <c r="G74" i="10"/>
  <c r="S66" i="10"/>
  <c r="E66" i="10" s="1"/>
  <c r="G66" i="10"/>
  <c r="S242" i="10"/>
  <c r="E242" i="10" s="1"/>
  <c r="G242" i="10"/>
  <c r="S281" i="10"/>
  <c r="E281" i="10" s="1"/>
  <c r="G281" i="10"/>
  <c r="S89" i="10"/>
  <c r="E89" i="10" s="1"/>
  <c r="G89" i="10"/>
  <c r="S140" i="10"/>
  <c r="E140" i="10" s="1"/>
  <c r="G140" i="10"/>
  <c r="S284" i="10"/>
  <c r="E284" i="10" s="1"/>
  <c r="G284" i="10"/>
  <c r="S129" i="10"/>
  <c r="E129" i="10" s="1"/>
  <c r="G129" i="10"/>
  <c r="S205" i="10"/>
  <c r="E205" i="10" s="1"/>
  <c r="G205" i="10"/>
  <c r="S199" i="10"/>
  <c r="E199" i="10" s="1"/>
  <c r="G199" i="10"/>
  <c r="S178" i="10"/>
  <c r="E178" i="10" s="1"/>
  <c r="G178" i="10"/>
  <c r="S106" i="10"/>
  <c r="E106" i="10" s="1"/>
  <c r="G106" i="10"/>
  <c r="S96" i="10"/>
  <c r="E96" i="10" s="1"/>
  <c r="G96" i="10"/>
  <c r="S82" i="10"/>
  <c r="E82" i="10" s="1"/>
  <c r="G82" i="10"/>
  <c r="S73" i="10"/>
  <c r="E73" i="10" s="1"/>
  <c r="G73" i="10"/>
  <c r="S210" i="10"/>
  <c r="E210" i="10" s="1"/>
  <c r="G210" i="10"/>
  <c r="S216" i="10"/>
  <c r="E216" i="10" s="1"/>
  <c r="G216" i="10"/>
  <c r="S280" i="10"/>
  <c r="E280" i="10" s="1"/>
  <c r="G280" i="10"/>
  <c r="S279" i="10"/>
  <c r="E279" i="10" s="1"/>
  <c r="G279" i="10"/>
  <c r="S171" i="10"/>
  <c r="E171" i="10" s="1"/>
  <c r="G171" i="10"/>
  <c r="S272" i="10"/>
  <c r="E272" i="10" s="1"/>
  <c r="G272" i="10"/>
  <c r="S316" i="10"/>
  <c r="E316" i="10" s="1"/>
  <c r="G316" i="10"/>
  <c r="S214" i="10"/>
  <c r="E214" i="10" s="1"/>
  <c r="G214" i="10"/>
  <c r="S244" i="10"/>
  <c r="E244" i="10" s="1"/>
  <c r="G244" i="10"/>
  <c r="S43" i="10"/>
  <c r="E43" i="10" s="1"/>
  <c r="G43" i="10"/>
  <c r="S209" i="10"/>
  <c r="E209" i="10" s="1"/>
  <c r="G209" i="10"/>
  <c r="S315" i="10"/>
  <c r="E315" i="10" s="1"/>
  <c r="G315" i="10"/>
  <c r="S265" i="10"/>
  <c r="E265" i="10" s="1"/>
  <c r="G265" i="10"/>
  <c r="S204" i="10"/>
  <c r="E204" i="10" s="1"/>
  <c r="G204" i="10"/>
  <c r="S87" i="10"/>
  <c r="E87" i="10" s="1"/>
  <c r="G87" i="10"/>
  <c r="S290" i="10"/>
  <c r="E290" i="10" s="1"/>
  <c r="G290" i="10"/>
  <c r="S238" i="10"/>
  <c r="E238" i="10" s="1"/>
  <c r="G238" i="10"/>
  <c r="S188" i="10"/>
  <c r="E188" i="10" s="1"/>
  <c r="G188" i="10"/>
  <c r="S271" i="10"/>
  <c r="E271" i="10" s="1"/>
  <c r="G271" i="10"/>
  <c r="S30" i="10"/>
  <c r="E30" i="10" s="1"/>
  <c r="G30" i="10"/>
  <c r="S236" i="10"/>
  <c r="E236" i="10" s="1"/>
  <c r="G236" i="10"/>
  <c r="S65" i="10"/>
  <c r="E65" i="10" s="1"/>
  <c r="G65" i="10"/>
  <c r="G286" i="9"/>
  <c r="AI284" i="22" s="1"/>
  <c r="AJ284" i="22" s="1"/>
  <c r="S286" i="10"/>
  <c r="E286" i="10" s="1"/>
  <c r="S318" i="10"/>
  <c r="E318" i="10" s="1"/>
  <c r="S295" i="10"/>
  <c r="E295" i="10" s="1"/>
  <c r="S299" i="10"/>
  <c r="E299" i="10" s="1"/>
  <c r="S11" i="10"/>
  <c r="E11" i="10" s="1"/>
  <c r="S297" i="10"/>
  <c r="E297" i="10" s="1"/>
  <c r="S294" i="10"/>
  <c r="E294" i="10" s="1"/>
  <c r="S301" i="10"/>
  <c r="E301" i="10" s="1"/>
  <c r="S303" i="10"/>
  <c r="E303" i="10" s="1"/>
  <c r="S309" i="10"/>
  <c r="E309" i="10" s="1"/>
  <c r="S314" i="10"/>
  <c r="E314" i="10" s="1"/>
  <c r="S298" i="10"/>
  <c r="E298" i="10" s="1"/>
  <c r="S296" i="10"/>
  <c r="E296" i="10" s="1"/>
  <c r="S291" i="10"/>
  <c r="E291" i="10" s="1"/>
  <c r="S305" i="10"/>
  <c r="E305" i="10" s="1"/>
  <c r="S313" i="10"/>
  <c r="E313" i="10" s="1"/>
  <c r="S306" i="10"/>
  <c r="E306" i="10" s="1"/>
  <c r="S307" i="10"/>
  <c r="E307" i="10" s="1"/>
  <c r="H317" i="9"/>
  <c r="W317" i="10" s="1"/>
  <c r="X317" i="10" s="1"/>
  <c r="H196" i="9"/>
  <c r="W196" i="10" s="1"/>
  <c r="X196" i="10" s="1"/>
  <c r="G256" i="9"/>
  <c r="AI254" i="22" s="1"/>
  <c r="AJ254" i="22" s="1"/>
  <c r="G230" i="9"/>
  <c r="AI228" i="22" s="1"/>
  <c r="AJ228" i="22" s="1"/>
  <c r="G241" i="9"/>
  <c r="AI239" i="22" s="1"/>
  <c r="AJ239" i="22" s="1"/>
  <c r="G265" i="9"/>
  <c r="AI263" i="22" s="1"/>
  <c r="AJ263" i="22" s="1"/>
  <c r="G228" i="9"/>
  <c r="AI226" i="22" s="1"/>
  <c r="AJ226" i="22" s="1"/>
  <c r="L261" i="9"/>
  <c r="M261" i="9" s="1"/>
  <c r="L274" i="9"/>
  <c r="M274" i="9" s="1"/>
  <c r="G240" i="9"/>
  <c r="AI238" i="22" s="1"/>
  <c r="AJ238" i="22" s="1"/>
  <c r="G273" i="9"/>
  <c r="AI271" i="22" s="1"/>
  <c r="AJ271" i="22" s="1"/>
  <c r="L231" i="9"/>
  <c r="M231" i="9" s="1"/>
  <c r="L233" i="9"/>
  <c r="M233" i="9" s="1"/>
  <c r="L315" i="9"/>
  <c r="M315" i="9" s="1"/>
  <c r="L242" i="9"/>
  <c r="M242" i="9" s="1"/>
  <c r="L265" i="9"/>
  <c r="M265" i="9" s="1"/>
  <c r="L228" i="9"/>
  <c r="M228" i="9" s="1"/>
  <c r="G235" i="9"/>
  <c r="AI233" i="22" s="1"/>
  <c r="AJ233" i="22" s="1"/>
  <c r="G223" i="9"/>
  <c r="AI221" i="22" s="1"/>
  <c r="AJ221" i="22" s="1"/>
  <c r="G276" i="9"/>
  <c r="AI274" i="22" s="1"/>
  <c r="AJ274" i="22" s="1"/>
  <c r="G199" i="9"/>
  <c r="AI197" i="22" s="1"/>
  <c r="AJ197" i="22" s="1"/>
  <c r="G232" i="9"/>
  <c r="AI230" i="22" s="1"/>
  <c r="AJ230" i="22" s="1"/>
  <c r="L273" i="9"/>
  <c r="M273" i="9" s="1"/>
  <c r="G171" i="9"/>
  <c r="AI168" i="22" s="1"/>
  <c r="AJ168" i="22" s="1"/>
  <c r="G231" i="9"/>
  <c r="AI229" i="22" s="1"/>
  <c r="AJ229" i="22" s="1"/>
  <c r="L250" i="9"/>
  <c r="M250" i="9" s="1"/>
  <c r="G233" i="9"/>
  <c r="AI231" i="22" s="1"/>
  <c r="AJ231" i="22" s="1"/>
  <c r="G203" i="9"/>
  <c r="AI201" i="22" s="1"/>
  <c r="AJ201" i="22" s="1"/>
  <c r="G94" i="9"/>
  <c r="AI91" i="22" s="1"/>
  <c r="L223" i="9"/>
  <c r="M223" i="9" s="1"/>
  <c r="L171" i="9"/>
  <c r="M171" i="9" s="1"/>
  <c r="L252" i="9"/>
  <c r="M252" i="9" s="1"/>
  <c r="G242" i="9"/>
  <c r="AI240" i="22" s="1"/>
  <c r="AJ240" i="22" s="1"/>
  <c r="L203" i="9"/>
  <c r="M203" i="9" s="1"/>
  <c r="G247" i="9"/>
  <c r="AI245" i="22" s="1"/>
  <c r="AJ245" i="22" s="1"/>
  <c r="L269" i="9"/>
  <c r="M269" i="9" s="1"/>
  <c r="L318" i="9"/>
  <c r="M318" i="9" s="1"/>
  <c r="L207" i="9"/>
  <c r="M207" i="9" s="1"/>
  <c r="G65" i="9"/>
  <c r="AI62" i="22" s="1"/>
  <c r="L142" i="9"/>
  <c r="M142" i="9" s="1"/>
  <c r="G238" i="9"/>
  <c r="AI236" i="22" s="1"/>
  <c r="AJ236" i="22" s="1"/>
  <c r="L110" i="9"/>
  <c r="M110" i="9" s="1"/>
  <c r="L14" i="9"/>
  <c r="M14" i="9" s="1"/>
  <c r="G16" i="9"/>
  <c r="AI14" i="22" s="1"/>
  <c r="L247" i="9"/>
  <c r="M247" i="9" s="1"/>
  <c r="G237" i="9"/>
  <c r="AI235" i="22" s="1"/>
  <c r="AJ235" i="22" s="1"/>
  <c r="G207" i="9"/>
  <c r="AI205" i="22" s="1"/>
  <c r="AJ205" i="22" s="1"/>
  <c r="L66" i="9"/>
  <c r="M66" i="9" s="1"/>
  <c r="L65" i="9"/>
  <c r="M65" i="9" s="1"/>
  <c r="L238" i="9"/>
  <c r="M238" i="9" s="1"/>
  <c r="G14" i="9"/>
  <c r="AI12" i="22" s="1"/>
  <c r="L16" i="9"/>
  <c r="M16" i="9" s="1"/>
  <c r="G234" i="9"/>
  <c r="AI232" i="22" s="1"/>
  <c r="AJ232" i="22" s="1"/>
  <c r="G202" i="9"/>
  <c r="AI200" i="22" s="1"/>
  <c r="AJ200" i="22" s="1"/>
  <c r="L312" i="9"/>
  <c r="M312" i="9" s="1"/>
  <c r="L283" i="9"/>
  <c r="M283" i="9" s="1"/>
  <c r="G264" i="9"/>
  <c r="AI262" i="22" s="1"/>
  <c r="AJ262" i="22" s="1"/>
  <c r="L262" i="9"/>
  <c r="M262" i="9" s="1"/>
  <c r="L164" i="9"/>
  <c r="M164" i="9" s="1"/>
  <c r="L245" i="9"/>
  <c r="M245" i="9" s="1"/>
  <c r="G201" i="9"/>
  <c r="AI199" i="22" s="1"/>
  <c r="AJ199" i="22" s="1"/>
  <c r="L234" i="9"/>
  <c r="M234" i="9" s="1"/>
  <c r="L258" i="9"/>
  <c r="M258" i="9" s="1"/>
  <c r="L202" i="9"/>
  <c r="M202" i="9" s="1"/>
  <c r="G257" i="9"/>
  <c r="AI255" i="22" s="1"/>
  <c r="AJ255" i="22" s="1"/>
  <c r="L264" i="9"/>
  <c r="M264" i="9" s="1"/>
  <c r="L111" i="9"/>
  <c r="M111" i="9" s="1"/>
  <c r="G259" i="9"/>
  <c r="AI257" i="22" s="1"/>
  <c r="AJ257" i="22" s="1"/>
  <c r="G245" i="9"/>
  <c r="AI243" i="22" s="1"/>
  <c r="AJ243" i="22" s="1"/>
  <c r="L201" i="9"/>
  <c r="M201" i="9" s="1"/>
  <c r="G128" i="9"/>
  <c r="AI125" i="22" s="1"/>
  <c r="AJ125" i="22" s="1"/>
  <c r="G270" i="9"/>
  <c r="AI268" i="22" s="1"/>
  <c r="AJ268" i="22" s="1"/>
  <c r="G204" i="9"/>
  <c r="AI202" i="22" s="1"/>
  <c r="AJ202" i="22" s="1"/>
  <c r="L193" i="9"/>
  <c r="M193" i="9" s="1"/>
  <c r="G271" i="9"/>
  <c r="AI269" i="22" s="1"/>
  <c r="AJ269" i="22" s="1"/>
  <c r="G220" i="9"/>
  <c r="AI218" i="22" s="1"/>
  <c r="AJ218" i="22" s="1"/>
  <c r="G226" i="9"/>
  <c r="AI224" i="22" s="1"/>
  <c r="AJ224" i="22" s="1"/>
  <c r="L257" i="9"/>
  <c r="M257" i="9" s="1"/>
  <c r="G244" i="9"/>
  <c r="AI242" i="22" s="1"/>
  <c r="AJ242" i="22" s="1"/>
  <c r="L101" i="9"/>
  <c r="M101" i="9" s="1"/>
  <c r="L259" i="9"/>
  <c r="M259" i="9" s="1"/>
  <c r="L229" i="9"/>
  <c r="M229" i="9" s="1"/>
  <c r="G17" i="9"/>
  <c r="AI15" i="22" s="1"/>
  <c r="L255" i="9"/>
  <c r="M255" i="9" s="1"/>
  <c r="G33" i="9"/>
  <c r="AI30" i="22" s="1"/>
  <c r="L270" i="9"/>
  <c r="M270" i="9" s="1"/>
  <c r="L204" i="9"/>
  <c r="M204" i="9" s="1"/>
  <c r="L260" i="9"/>
  <c r="M260" i="9" s="1"/>
  <c r="L271" i="9"/>
  <c r="M271" i="9" s="1"/>
  <c r="L220" i="9"/>
  <c r="M220" i="9" s="1"/>
  <c r="L226" i="9"/>
  <c r="M226" i="9" s="1"/>
  <c r="G236" i="9"/>
  <c r="AI234" i="22" s="1"/>
  <c r="AJ234" i="22" s="1"/>
  <c r="L244" i="9"/>
  <c r="M244" i="9" s="1"/>
  <c r="G229" i="9"/>
  <c r="AI227" i="22" s="1"/>
  <c r="AJ227" i="22" s="1"/>
  <c r="G255" i="9"/>
  <c r="AI253" i="22" s="1"/>
  <c r="AJ253" i="22" s="1"/>
  <c r="G263" i="9"/>
  <c r="AI261" i="22" s="1"/>
  <c r="AJ261" i="22" s="1"/>
  <c r="G249" i="9"/>
  <c r="AI247" i="22" s="1"/>
  <c r="AJ247" i="22" s="1"/>
  <c r="L205" i="9"/>
  <c r="M205" i="9" s="1"/>
  <c r="L72" i="9"/>
  <c r="L236" i="9"/>
  <c r="M236" i="9" s="1"/>
  <c r="G272" i="9"/>
  <c r="AI270" i="22" s="1"/>
  <c r="AJ270" i="22" s="1"/>
  <c r="G227" i="9"/>
  <c r="AI225" i="22" s="1"/>
  <c r="AJ225" i="22" s="1"/>
  <c r="G146" i="9"/>
  <c r="AI144" i="22" s="1"/>
  <c r="AJ144" i="22" s="1"/>
  <c r="L241" i="9"/>
  <c r="M241" i="9" s="1"/>
  <c r="G248" i="9"/>
  <c r="AI246" i="22" s="1"/>
  <c r="AJ246" i="22" s="1"/>
  <c r="G200" i="9"/>
  <c r="AI198" i="22" s="1"/>
  <c r="AJ198" i="22" s="1"/>
  <c r="L267" i="9"/>
  <c r="M267" i="9" s="1"/>
  <c r="L35" i="9"/>
  <c r="M35" i="9" s="1"/>
  <c r="G13" i="9"/>
  <c r="AI11" i="22" s="1"/>
  <c r="L263" i="9"/>
  <c r="M263" i="9" s="1"/>
  <c r="L249" i="9"/>
  <c r="M249" i="9" s="1"/>
  <c r="G205" i="9"/>
  <c r="AI203" i="22" s="1"/>
  <c r="AJ203" i="22" s="1"/>
  <c r="L243" i="9"/>
  <c r="M243" i="9" s="1"/>
  <c r="L206" i="9"/>
  <c r="M206" i="9" s="1"/>
  <c r="L221" i="9"/>
  <c r="M221" i="9" s="1"/>
  <c r="L272" i="9"/>
  <c r="M272" i="9" s="1"/>
  <c r="L227" i="9"/>
  <c r="M227" i="9" s="1"/>
  <c r="G268" i="9"/>
  <c r="AI266" i="22" s="1"/>
  <c r="AJ266" i="22" s="1"/>
  <c r="L166" i="9"/>
  <c r="M166" i="9" s="1"/>
  <c r="L248" i="9"/>
  <c r="M248" i="9" s="1"/>
  <c r="L316" i="9"/>
  <c r="M316" i="9" s="1"/>
  <c r="L200" i="9"/>
  <c r="M200" i="9" s="1"/>
  <c r="G124" i="9"/>
  <c r="AI121" i="22" s="1"/>
  <c r="AJ121" i="22" s="1"/>
  <c r="G267" i="9"/>
  <c r="AI265" i="22" s="1"/>
  <c r="AJ265" i="22" s="1"/>
  <c r="L82" i="9"/>
  <c r="M82" i="9" s="1"/>
  <c r="G261" i="9"/>
  <c r="AI259" i="22" s="1"/>
  <c r="AJ259" i="22" s="1"/>
  <c r="G274" i="9"/>
  <c r="AI272" i="22" s="1"/>
  <c r="AJ272" i="22" s="1"/>
  <c r="L254" i="9"/>
  <c r="M254" i="9" s="1"/>
  <c r="G243" i="9"/>
  <c r="AI241" i="22" s="1"/>
  <c r="AJ241" i="22" s="1"/>
  <c r="G206" i="9"/>
  <c r="AI204" i="22" s="1"/>
  <c r="AJ204" i="22" s="1"/>
  <c r="G221" i="9"/>
  <c r="AI219" i="22" s="1"/>
  <c r="AJ219" i="22" s="1"/>
  <c r="G111" i="9"/>
  <c r="AI107" i="22" s="1"/>
  <c r="G291" i="10"/>
  <c r="G305" i="10"/>
  <c r="G313" i="10"/>
  <c r="G306" i="10"/>
  <c r="G295" i="10"/>
  <c r="G299" i="10"/>
  <c r="G307" i="10"/>
  <c r="G297" i="10"/>
  <c r="G294" i="10"/>
  <c r="G301" i="10"/>
  <c r="G303" i="10"/>
  <c r="G314" i="10"/>
  <c r="G298" i="10"/>
  <c r="G296" i="10"/>
  <c r="G309" i="10"/>
  <c r="L253" i="9"/>
  <c r="M253" i="9" s="1"/>
  <c r="G254" i="9"/>
  <c r="AI252" i="22" s="1"/>
  <c r="AJ252" i="22" s="1"/>
  <c r="L13" i="9"/>
  <c r="M13" i="9" s="1"/>
  <c r="L199" i="9"/>
  <c r="M199" i="9" s="1"/>
  <c r="G101" i="9"/>
  <c r="AI98" i="22" s="1"/>
  <c r="G180" i="10"/>
  <c r="L240" i="9"/>
  <c r="M240" i="9" s="1"/>
  <c r="G59" i="10"/>
  <c r="G250" i="9"/>
  <c r="AI248" i="22" s="1"/>
  <c r="AJ248" i="22" s="1"/>
  <c r="G32" i="10"/>
  <c r="G35" i="10"/>
  <c r="G114" i="10"/>
  <c r="G193" i="10"/>
  <c r="G283" i="9"/>
  <c r="AI281" i="22" s="1"/>
  <c r="AJ281" i="22" s="1"/>
  <c r="G63" i="10"/>
  <c r="G255" i="10"/>
  <c r="G91" i="10"/>
  <c r="G226" i="10"/>
  <c r="G277" i="10"/>
  <c r="L11" i="9"/>
  <c r="M11" i="9" s="1"/>
  <c r="G11" i="10"/>
  <c r="G110" i="10"/>
  <c r="D18" i="10"/>
  <c r="G252" i="9"/>
  <c r="AI250" i="22" s="1"/>
  <c r="AJ250" i="22" s="1"/>
  <c r="L256" i="9"/>
  <c r="M256" i="9" s="1"/>
  <c r="G110" i="9"/>
  <c r="AI108" i="22" s="1"/>
  <c r="L237" i="9"/>
  <c r="M237" i="9" s="1"/>
  <c r="G258" i="9"/>
  <c r="AI256" i="22" s="1"/>
  <c r="AJ256" i="22" s="1"/>
  <c r="L232" i="9"/>
  <c r="M232" i="9" s="1"/>
  <c r="L230" i="9"/>
  <c r="M230" i="9" s="1"/>
  <c r="G11" i="9"/>
  <c r="AI9" i="22" s="1"/>
  <c r="L235" i="9"/>
  <c r="M235" i="9" s="1"/>
  <c r="L268" i="9"/>
  <c r="M268" i="9" s="1"/>
  <c r="G262" i="9"/>
  <c r="AI260" i="22" s="1"/>
  <c r="AJ260" i="22" s="1"/>
  <c r="G269" i="9"/>
  <c r="AI267" i="22" s="1"/>
  <c r="AJ267" i="22" s="1"/>
  <c r="G300" i="9"/>
  <c r="AI298" i="22" s="1"/>
  <c r="AJ298" i="22" s="1"/>
  <c r="L300" i="9"/>
  <c r="M300" i="9" s="1"/>
  <c r="G260" i="9"/>
  <c r="AI258" i="22" s="1"/>
  <c r="AJ258" i="22" s="1"/>
  <c r="G253" i="9"/>
  <c r="AI251" i="22" s="1"/>
  <c r="AJ251" i="22" s="1"/>
  <c r="G81" i="9"/>
  <c r="AI78" i="22" s="1"/>
  <c r="L17" i="9"/>
  <c r="M17" i="9" s="1"/>
  <c r="F128" i="10"/>
  <c r="F214" i="10"/>
  <c r="F78" i="10"/>
  <c r="F37" i="10"/>
  <c r="F71" i="10"/>
  <c r="F89" i="10"/>
  <c r="F94" i="10"/>
  <c r="F93" i="10"/>
  <c r="F55" i="10"/>
  <c r="F287" i="10"/>
  <c r="F57" i="10"/>
  <c r="F137" i="10"/>
  <c r="F131" i="10"/>
  <c r="F134" i="10"/>
  <c r="F19" i="10"/>
  <c r="F217" i="10"/>
  <c r="F288" i="10"/>
  <c r="F118" i="10"/>
  <c r="F99" i="10"/>
  <c r="F66" i="10"/>
  <c r="F24" i="10"/>
  <c r="F36" i="10"/>
  <c r="F87" i="10"/>
  <c r="F159" i="10"/>
  <c r="F86" i="10"/>
  <c r="F310" i="10"/>
  <c r="F22" i="10"/>
  <c r="F198" i="10"/>
  <c r="F162" i="10"/>
  <c r="F216" i="10"/>
  <c r="F73" i="10"/>
  <c r="F47" i="10"/>
  <c r="F43" i="10"/>
  <c r="F180" i="10"/>
  <c r="F140" i="10"/>
  <c r="F65" i="10"/>
  <c r="F307" i="10"/>
  <c r="F20" i="10"/>
  <c r="F305" i="10"/>
  <c r="F316" i="10"/>
  <c r="F174" i="10"/>
  <c r="F119" i="10"/>
  <c r="F155" i="10"/>
  <c r="F178" i="10"/>
  <c r="F81" i="10"/>
  <c r="F173" i="10"/>
  <c r="F101" i="10"/>
  <c r="F62" i="10"/>
  <c r="F48" i="10"/>
  <c r="F281" i="10"/>
  <c r="F125" i="10"/>
  <c r="F188" i="10"/>
  <c r="F84" i="10"/>
  <c r="F96" i="10"/>
  <c r="F302" i="10"/>
  <c r="F143" i="10"/>
  <c r="F283" i="10"/>
  <c r="F300" i="10"/>
  <c r="P5" i="18"/>
  <c r="Q5" i="18" s="1"/>
  <c r="G36" i="9"/>
  <c r="AI33" i="22" s="1"/>
  <c r="F193" i="10"/>
  <c r="L36" i="9"/>
  <c r="M36" i="9" s="1"/>
  <c r="F146" i="10"/>
  <c r="F309" i="10"/>
  <c r="F17" i="10"/>
  <c r="AN324" i="22"/>
  <c r="T324" i="22"/>
  <c r="U324" i="22"/>
  <c r="F150" i="10"/>
  <c r="F182" i="10"/>
  <c r="F61" i="10"/>
  <c r="F270" i="10"/>
  <c r="F77" i="10"/>
  <c r="F109" i="10"/>
  <c r="F167" i="10"/>
  <c r="F197" i="10"/>
  <c r="F54" i="10"/>
  <c r="F113" i="10"/>
  <c r="F306" i="10"/>
  <c r="F126" i="10"/>
  <c r="F165" i="10"/>
  <c r="F280" i="10"/>
  <c r="F88" i="10"/>
  <c r="F242" i="10"/>
  <c r="F147" i="10"/>
  <c r="F115" i="10"/>
  <c r="F82" i="10"/>
  <c r="F285" i="10"/>
  <c r="F50" i="10"/>
  <c r="F301" i="10"/>
  <c r="F29" i="10"/>
  <c r="F187" i="10"/>
  <c r="F170" i="10"/>
  <c r="F105" i="10"/>
  <c r="F80" i="10"/>
  <c r="F149" i="10"/>
  <c r="F277" i="10"/>
  <c r="F104" i="10"/>
  <c r="F45" i="10"/>
  <c r="F314" i="10"/>
  <c r="F189" i="10"/>
  <c r="F166" i="10"/>
  <c r="F114" i="10"/>
  <c r="F70" i="10"/>
  <c r="F75" i="10"/>
  <c r="F312" i="10"/>
  <c r="F297" i="10"/>
  <c r="F229" i="10"/>
  <c r="F30" i="10"/>
  <c r="F72" i="10"/>
  <c r="E102" i="30" s="1"/>
  <c r="F163" i="10"/>
  <c r="F40" i="10"/>
  <c r="F100" i="10"/>
  <c r="F76" i="10"/>
  <c r="F292" i="10"/>
  <c r="F247" i="10"/>
  <c r="F202" i="10"/>
  <c r="F11" i="10"/>
  <c r="F133" i="10"/>
  <c r="F67" i="10"/>
  <c r="F265" i="10"/>
  <c r="F13" i="10"/>
  <c r="F74" i="10"/>
  <c r="F298" i="10"/>
  <c r="F120" i="10"/>
  <c r="F315" i="10"/>
  <c r="F18" i="10"/>
  <c r="F44" i="10"/>
  <c r="F52" i="10"/>
  <c r="F59" i="10"/>
  <c r="F23" i="10"/>
  <c r="F60" i="10"/>
  <c r="F248" i="10"/>
  <c r="G130" i="10"/>
  <c r="F130" i="10"/>
  <c r="F254" i="10"/>
  <c r="F148" i="10"/>
  <c r="F152" i="10"/>
  <c r="E227" i="10"/>
  <c r="F227" i="10"/>
  <c r="F279" i="10"/>
  <c r="F318" i="10"/>
  <c r="F26" i="10"/>
  <c r="F267" i="10"/>
  <c r="F97" i="10"/>
  <c r="F49" i="10"/>
  <c r="E42" i="10"/>
  <c r="F42" i="10"/>
  <c r="F220" i="10"/>
  <c r="F258" i="10"/>
  <c r="F124" i="10"/>
  <c r="F211" i="10"/>
  <c r="F68" i="10"/>
  <c r="F132" i="10"/>
  <c r="F177" i="10"/>
  <c r="F262" i="10"/>
  <c r="F95" i="10"/>
  <c r="F121" i="10"/>
  <c r="F157" i="10"/>
  <c r="F209" i="10"/>
  <c r="F58" i="10"/>
  <c r="F41" i="10"/>
  <c r="F282" i="10"/>
  <c r="F122" i="10"/>
  <c r="F269" i="10"/>
  <c r="F241" i="10"/>
  <c r="F179" i="10"/>
  <c r="F91" i="10"/>
  <c r="F108" i="10"/>
  <c r="F264" i="10"/>
  <c r="E107" i="10"/>
  <c r="F107" i="10"/>
  <c r="F304" i="10"/>
  <c r="F117" i="10"/>
  <c r="F240" i="10"/>
  <c r="F185" i="10"/>
  <c r="F308" i="10"/>
  <c r="F192" i="10"/>
  <c r="F303" i="10"/>
  <c r="F51" i="10"/>
  <c r="F169" i="10"/>
  <c r="F136" i="10"/>
  <c r="F90" i="10"/>
  <c r="F28" i="10"/>
  <c r="F271" i="10"/>
  <c r="F206" i="10"/>
  <c r="F33" i="10"/>
  <c r="F69" i="10"/>
  <c r="F191" i="10"/>
  <c r="F194" i="10"/>
  <c r="F172" i="10"/>
  <c r="F181" i="10"/>
  <c r="F272" i="10"/>
  <c r="F154" i="10"/>
  <c r="F286" i="10"/>
  <c r="F144" i="10"/>
  <c r="F31" i="10"/>
  <c r="F261" i="10"/>
  <c r="F176" i="10"/>
  <c r="F273" i="10"/>
  <c r="F141" i="10"/>
  <c r="F138" i="10"/>
  <c r="F161" i="10"/>
  <c r="F284" i="10"/>
  <c r="F106" i="10"/>
  <c r="F34" i="10"/>
  <c r="F237" i="10"/>
  <c r="F252" i="10"/>
  <c r="F129" i="10"/>
  <c r="F291" i="10"/>
  <c r="F215" i="10"/>
  <c r="F257" i="10"/>
  <c r="F253" i="10"/>
  <c r="F183" i="10"/>
  <c r="G125" i="10"/>
  <c r="G228" i="10"/>
  <c r="G21" i="10"/>
  <c r="G53" i="10"/>
  <c r="G310" i="10"/>
  <c r="G278" i="10"/>
  <c r="G200" i="10"/>
  <c r="G38" i="10"/>
  <c r="G250" i="10"/>
  <c r="G81" i="10"/>
  <c r="G47" i="10"/>
  <c r="G34" i="10"/>
  <c r="G257" i="10"/>
  <c r="G42" i="10"/>
  <c r="G217" i="10"/>
  <c r="G56" i="10"/>
  <c r="G195" i="10"/>
  <c r="G308" i="10"/>
  <c r="G51" i="10"/>
  <c r="G90" i="10"/>
  <c r="G107" i="10"/>
  <c r="G219" i="9"/>
  <c r="AI217" i="22" s="1"/>
  <c r="AJ217" i="22" s="1"/>
  <c r="L219" i="9"/>
  <c r="M219" i="9" s="1"/>
  <c r="G152" i="10"/>
  <c r="G227" i="10"/>
  <c r="G275" i="9"/>
  <c r="AI273" i="22" s="1"/>
  <c r="AJ273" i="22" s="1"/>
  <c r="M275" i="9"/>
  <c r="G120" i="10"/>
  <c r="G18" i="10"/>
  <c r="G261" i="10"/>
  <c r="AJ10" i="22"/>
  <c r="G163" i="10"/>
  <c r="G67" i="10"/>
  <c r="L313" i="18"/>
  <c r="M313" i="18"/>
  <c r="P326" i="9"/>
  <c r="P332" i="9" s="1"/>
  <c r="E101" i="30" l="1"/>
  <c r="E103" i="30"/>
  <c r="M72" i="9"/>
  <c r="E24" i="30" s="1"/>
  <c r="E34" i="30" s="1"/>
  <c r="E91" i="30"/>
  <c r="E93" i="30" s="1"/>
  <c r="G208" i="10"/>
  <c r="T10" i="10"/>
  <c r="AP324" i="22"/>
  <c r="P313" i="18"/>
  <c r="G8" i="22"/>
  <c r="AQ8" i="22" s="1"/>
  <c r="U10" i="10" s="1"/>
  <c r="R10" i="10"/>
  <c r="AO324" i="22"/>
  <c r="G286" i="10"/>
  <c r="E289" i="10"/>
  <c r="E312" i="10"/>
  <c r="J324" i="22"/>
  <c r="L324" i="22"/>
  <c r="G111" i="10"/>
  <c r="I324" i="22"/>
  <c r="L146" i="9"/>
  <c r="M146" i="9" s="1"/>
  <c r="G37" i="9"/>
  <c r="AI34" i="22" s="1"/>
  <c r="AJ34" i="22" s="1"/>
  <c r="G46" i="9"/>
  <c r="L104" i="9"/>
  <c r="M104" i="9" s="1"/>
  <c r="L181" i="9"/>
  <c r="M181" i="9" s="1"/>
  <c r="G307" i="9"/>
  <c r="AI305" i="22" s="1"/>
  <c r="AJ305" i="22" s="1"/>
  <c r="L76" i="9"/>
  <c r="M76" i="9" s="1"/>
  <c r="G30" i="9"/>
  <c r="AI27" i="22" s="1"/>
  <c r="G91" i="9"/>
  <c r="AI88" i="22" s="1"/>
  <c r="L33" i="9"/>
  <c r="M33" i="9" s="1"/>
  <c r="G105" i="9"/>
  <c r="G102" i="9"/>
  <c r="G164" i="9"/>
  <c r="AI161" i="22" s="1"/>
  <c r="AJ161" i="22" s="1"/>
  <c r="G167" i="9"/>
  <c r="AI164" i="22" s="1"/>
  <c r="AJ164" i="22" s="1"/>
  <c r="L161" i="9"/>
  <c r="M161" i="9" s="1"/>
  <c r="G311" i="9"/>
  <c r="AI308" i="22" s="1"/>
  <c r="AJ308" i="22" s="1"/>
  <c r="G113" i="9"/>
  <c r="AI110" i="22" s="1"/>
  <c r="AJ110" i="22" s="1"/>
  <c r="G197" i="9"/>
  <c r="AI194" i="22" s="1"/>
  <c r="AJ194" i="22" s="1"/>
  <c r="L56" i="9"/>
  <c r="M56" i="9" s="1"/>
  <c r="L149" i="9"/>
  <c r="M149" i="9" s="1"/>
  <c r="G140" i="9"/>
  <c r="AI137" i="22" s="1"/>
  <c r="AJ137" i="22" s="1"/>
  <c r="L210" i="9"/>
  <c r="M210" i="9" s="1"/>
  <c r="L62" i="9"/>
  <c r="M62" i="9" s="1"/>
  <c r="G279" i="9"/>
  <c r="AI277" i="22" s="1"/>
  <c r="AJ277" i="22" s="1"/>
  <c r="G132" i="9"/>
  <c r="AI129" i="22" s="1"/>
  <c r="AJ129" i="22" s="1"/>
  <c r="G48" i="9"/>
  <c r="AI45" i="22" s="1"/>
  <c r="L96" i="9"/>
  <c r="M96" i="9" s="1"/>
  <c r="L309" i="9"/>
  <c r="M309" i="9" s="1"/>
  <c r="G69" i="9"/>
  <c r="AI66" i="22" s="1"/>
  <c r="L158" i="9"/>
  <c r="M158" i="9" s="1"/>
  <c r="L281" i="9"/>
  <c r="M281" i="9" s="1"/>
  <c r="L141" i="9"/>
  <c r="M141" i="9" s="1"/>
  <c r="G211" i="9"/>
  <c r="AI208" i="22" s="1"/>
  <c r="AJ208" i="22" s="1"/>
  <c r="L198" i="9"/>
  <c r="M198" i="9" s="1"/>
  <c r="L79" i="9"/>
  <c r="M79" i="9" s="1"/>
  <c r="L129" i="9"/>
  <c r="M129" i="9" s="1"/>
  <c r="L128" i="9"/>
  <c r="M128" i="9" s="1"/>
  <c r="G62" i="9"/>
  <c r="AI59" i="22" s="1"/>
  <c r="L134" i="9"/>
  <c r="M134" i="9" s="1"/>
  <c r="G190" i="9"/>
  <c r="AI187" i="22" s="1"/>
  <c r="AJ187" i="22" s="1"/>
  <c r="L90" i="9"/>
  <c r="M90" i="9" s="1"/>
  <c r="G71" i="9"/>
  <c r="AI68" i="22" s="1"/>
  <c r="L21" i="9"/>
  <c r="M21" i="9" s="1"/>
  <c r="G85" i="9"/>
  <c r="AI82" i="22" s="1"/>
  <c r="G216" i="9"/>
  <c r="AI214" i="22" s="1"/>
  <c r="AJ214" i="22" s="1"/>
  <c r="G73" i="9"/>
  <c r="AI70" i="22" s="1"/>
  <c r="G123" i="9"/>
  <c r="AI120" i="22" s="1"/>
  <c r="AJ120" i="22" s="1"/>
  <c r="G213" i="9"/>
  <c r="AI211" i="22" s="1"/>
  <c r="AJ211" i="22" s="1"/>
  <c r="AJ107" i="22"/>
  <c r="L80" i="9"/>
  <c r="M80" i="9" s="1"/>
  <c r="G118" i="9"/>
  <c r="AI115" i="22" s="1"/>
  <c r="AJ115" i="22" s="1"/>
  <c r="L87" i="9"/>
  <c r="M87" i="9" s="1"/>
  <c r="L154" i="9"/>
  <c r="M154" i="9" s="1"/>
  <c r="G288" i="9"/>
  <c r="AI286" i="22" s="1"/>
  <c r="AJ286" i="22" s="1"/>
  <c r="G56" i="9"/>
  <c r="AI53" i="22" s="1"/>
  <c r="G107" i="9"/>
  <c r="L291" i="9"/>
  <c r="M291" i="9" s="1"/>
  <c r="G97" i="9"/>
  <c r="AI94" i="22" s="1"/>
  <c r="L39" i="9"/>
  <c r="M39" i="9" s="1"/>
  <c r="L180" i="9"/>
  <c r="M180" i="9" s="1"/>
  <c r="L93" i="9"/>
  <c r="M93" i="9" s="1"/>
  <c r="G290" i="9"/>
  <c r="AI288" i="22" s="1"/>
  <c r="AJ288" i="22" s="1"/>
  <c r="L37" i="9"/>
  <c r="M37" i="9" s="1"/>
  <c r="L24" i="9"/>
  <c r="M24" i="9" s="1"/>
  <c r="L123" i="9"/>
  <c r="M123" i="9" s="1"/>
  <c r="G172" i="9"/>
  <c r="AI169" i="22" s="1"/>
  <c r="AJ169" i="22" s="1"/>
  <c r="L118" i="9"/>
  <c r="M118" i="9" s="1"/>
  <c r="G285" i="9"/>
  <c r="AI283" i="22" s="1"/>
  <c r="AJ283" i="22" s="1"/>
  <c r="G193" i="9"/>
  <c r="AI190" i="22" s="1"/>
  <c r="AJ190" i="22" s="1"/>
  <c r="L294" i="9"/>
  <c r="M294" i="9" s="1"/>
  <c r="G20" i="9"/>
  <c r="G184" i="9"/>
  <c r="AI181" i="22" s="1"/>
  <c r="AJ181" i="22" s="1"/>
  <c r="L18" i="9"/>
  <c r="M18" i="9" s="1"/>
  <c r="G52" i="9"/>
  <c r="L167" i="9"/>
  <c r="M167" i="9" s="1"/>
  <c r="G215" i="9"/>
  <c r="AI213" i="22" s="1"/>
  <c r="AJ213" i="22" s="1"/>
  <c r="G149" i="9"/>
  <c r="AI147" i="22" s="1"/>
  <c r="AJ147" i="22" s="1"/>
  <c r="L195" i="9"/>
  <c r="M195" i="9" s="1"/>
  <c r="L183" i="9"/>
  <c r="M183" i="9" s="1"/>
  <c r="G141" i="9"/>
  <c r="AI139" i="22" s="1"/>
  <c r="AJ139" i="22" s="1"/>
  <c r="G76" i="9"/>
  <c r="AI73" i="22" s="1"/>
  <c r="L215" i="9"/>
  <c r="M215" i="9" s="1"/>
  <c r="G189" i="9"/>
  <c r="AI186" i="22" s="1"/>
  <c r="AJ186" i="22" s="1"/>
  <c r="G318" i="9"/>
  <c r="AI316" i="22" s="1"/>
  <c r="AJ316" i="22" s="1"/>
  <c r="G194" i="9"/>
  <c r="AI191" i="22" s="1"/>
  <c r="AJ191" i="22" s="1"/>
  <c r="G314" i="9"/>
  <c r="AI312" i="22" s="1"/>
  <c r="AJ312" i="22" s="1"/>
  <c r="G315" i="9"/>
  <c r="AI313" i="22" s="1"/>
  <c r="AJ313" i="22" s="1"/>
  <c r="G177" i="9"/>
  <c r="AI174" i="22" s="1"/>
  <c r="AJ174" i="22" s="1"/>
  <c r="L151" i="9"/>
  <c r="M151" i="9" s="1"/>
  <c r="L307" i="9"/>
  <c r="M307" i="9" s="1"/>
  <c r="G313" i="9"/>
  <c r="AI310" i="22" s="1"/>
  <c r="AJ310" i="22" s="1"/>
  <c r="L42" i="9"/>
  <c r="M42" i="9" s="1"/>
  <c r="L189" i="9"/>
  <c r="M189" i="9" s="1"/>
  <c r="G156" i="9"/>
  <c r="AI154" i="22" s="1"/>
  <c r="AJ154" i="22" s="1"/>
  <c r="L140" i="9"/>
  <c r="M140" i="9" s="1"/>
  <c r="G24" i="9"/>
  <c r="G181" i="9"/>
  <c r="AI178" i="22" s="1"/>
  <c r="AJ178" i="22" s="1"/>
  <c r="L68" i="9"/>
  <c r="M68" i="9" s="1"/>
  <c r="G77" i="9"/>
  <c r="AI74" i="22" s="1"/>
  <c r="G83" i="9"/>
  <c r="L102" i="9"/>
  <c r="M102" i="9" s="1"/>
  <c r="L190" i="9"/>
  <c r="M190" i="9" s="1"/>
  <c r="G68" i="9"/>
  <c r="AI65" i="22" s="1"/>
  <c r="L289" i="9"/>
  <c r="M289" i="9" s="1"/>
  <c r="G43" i="9"/>
  <c r="L184" i="9"/>
  <c r="M184" i="9" s="1"/>
  <c r="G161" i="9"/>
  <c r="AI158" i="22" s="1"/>
  <c r="AJ158" i="22" s="1"/>
  <c r="L63" i="9"/>
  <c r="M63" i="9" s="1"/>
  <c r="G59" i="9"/>
  <c r="AI56" i="22" s="1"/>
  <c r="G133" i="9"/>
  <c r="AI130" i="22" s="1"/>
  <c r="AJ130" i="22" s="1"/>
  <c r="G96" i="9"/>
  <c r="AI93" i="22" s="1"/>
  <c r="L178" i="9"/>
  <c r="M178" i="9" s="1"/>
  <c r="L71" i="9"/>
  <c r="M71" i="9" s="1"/>
  <c r="L168" i="9"/>
  <c r="M168" i="9" s="1"/>
  <c r="L314" i="9"/>
  <c r="M314" i="9" s="1"/>
  <c r="G217" i="9"/>
  <c r="AI215" i="22" s="1"/>
  <c r="AJ215" i="22" s="1"/>
  <c r="G122" i="9"/>
  <c r="AI119" i="22" s="1"/>
  <c r="AJ119" i="22" s="1"/>
  <c r="G175" i="9"/>
  <c r="AI172" i="22" s="1"/>
  <c r="AJ172" i="22" s="1"/>
  <c r="G79" i="9"/>
  <c r="AI76" i="22" s="1"/>
  <c r="L276" i="9"/>
  <c r="M276" i="9" s="1"/>
  <c r="L135" i="9"/>
  <c r="M135" i="9" s="1"/>
  <c r="G28" i="9"/>
  <c r="AI25" i="22" s="1"/>
  <c r="G302" i="9"/>
  <c r="AI300" i="22" s="1"/>
  <c r="AJ300" i="22" s="1"/>
  <c r="L302" i="9"/>
  <c r="M302" i="9" s="1"/>
  <c r="G166" i="9"/>
  <c r="AI163" i="22" s="1"/>
  <c r="AJ163" i="22" s="1"/>
  <c r="G281" i="9"/>
  <c r="AI279" i="22" s="1"/>
  <c r="AJ279" i="22" s="1"/>
  <c r="G135" i="9"/>
  <c r="AI132" i="22" s="1"/>
  <c r="AJ132" i="22" s="1"/>
  <c r="G180" i="9"/>
  <c r="AI177" i="22" s="1"/>
  <c r="AJ177" i="22" s="1"/>
  <c r="G183" i="9"/>
  <c r="AI180" i="22" s="1"/>
  <c r="AJ180" i="22" s="1"/>
  <c r="G294" i="9"/>
  <c r="AI292" i="22" s="1"/>
  <c r="AJ292" i="22" s="1"/>
  <c r="G103" i="9"/>
  <c r="G75" i="9"/>
  <c r="G142" i="9"/>
  <c r="AI140" i="22" s="1"/>
  <c r="AJ140" i="22" s="1"/>
  <c r="L286" i="9"/>
  <c r="M286" i="9" s="1"/>
  <c r="L290" i="9"/>
  <c r="M290" i="9" s="1"/>
  <c r="L176" i="9"/>
  <c r="M176" i="9" s="1"/>
  <c r="G22" i="9"/>
  <c r="L288" i="9"/>
  <c r="M288" i="9" s="1"/>
  <c r="L119" i="9"/>
  <c r="M119" i="9" s="1"/>
  <c r="L130" i="9"/>
  <c r="M130" i="9" s="1"/>
  <c r="L187" i="9"/>
  <c r="M187" i="9" s="1"/>
  <c r="L52" i="9"/>
  <c r="M52" i="9" s="1"/>
  <c r="L108" i="9"/>
  <c r="M108" i="9" s="1"/>
  <c r="L277" i="9"/>
  <c r="M277" i="9" s="1"/>
  <c r="L88" i="9"/>
  <c r="M88" i="9" s="1"/>
  <c r="G18" i="9"/>
  <c r="AI138" i="22" s="1"/>
  <c r="AJ138" i="22" s="1"/>
  <c r="L92" i="9"/>
  <c r="M92" i="9" s="1"/>
  <c r="G198" i="9"/>
  <c r="AI195" i="22" s="1"/>
  <c r="AJ195" i="22" s="1"/>
  <c r="G298" i="9"/>
  <c r="AI296" i="22" s="1"/>
  <c r="AJ296" i="22" s="1"/>
  <c r="L113" i="9"/>
  <c r="M113" i="9" s="1"/>
  <c r="L279" i="9"/>
  <c r="M279" i="9" s="1"/>
  <c r="G289" i="9"/>
  <c r="AI287" i="22" s="1"/>
  <c r="AJ287" i="22" s="1"/>
  <c r="L31" i="9"/>
  <c r="M31" i="9" s="1"/>
  <c r="L83" i="9"/>
  <c r="M83" i="9" s="1"/>
  <c r="L296" i="9"/>
  <c r="M296" i="9" s="1"/>
  <c r="L19" i="9"/>
  <c r="M19" i="9" s="1"/>
  <c r="L216" i="9"/>
  <c r="M216" i="9" s="1"/>
  <c r="G178" i="9"/>
  <c r="AI175" i="22" s="1"/>
  <c r="AJ175" i="22" s="1"/>
  <c r="G131" i="9"/>
  <c r="AI128" i="22" s="1"/>
  <c r="AJ128" i="22" s="1"/>
  <c r="G119" i="9"/>
  <c r="AI116" i="22" s="1"/>
  <c r="AJ116" i="22" s="1"/>
  <c r="G176" i="9"/>
  <c r="AI173" i="22" s="1"/>
  <c r="AJ173" i="22" s="1"/>
  <c r="L48" i="9"/>
  <c r="M48" i="9" s="1"/>
  <c r="L213" i="9"/>
  <c r="M213" i="9" s="1"/>
  <c r="G292" i="9"/>
  <c r="AI290" i="22" s="1"/>
  <c r="AJ290" i="22" s="1"/>
  <c r="L53" i="9"/>
  <c r="M53" i="9" s="1"/>
  <c r="L155" i="9"/>
  <c r="M155" i="9" s="1"/>
  <c r="G148" i="9"/>
  <c r="AI146" i="22" s="1"/>
  <c r="AJ146" i="22" s="1"/>
  <c r="L304" i="9"/>
  <c r="M304" i="9" s="1"/>
  <c r="G154" i="9"/>
  <c r="AI152" i="22" s="1"/>
  <c r="AJ152" i="22" s="1"/>
  <c r="G55" i="9"/>
  <c r="L209" i="9"/>
  <c r="M209" i="9" s="1"/>
  <c r="L27" i="9"/>
  <c r="M27" i="9" s="1"/>
  <c r="L44" i="9"/>
  <c r="M44" i="9" s="1"/>
  <c r="G39" i="9"/>
  <c r="G137" i="9"/>
  <c r="AI134" i="22" s="1"/>
  <c r="AJ134" i="22" s="1"/>
  <c r="L69" i="9"/>
  <c r="M69" i="9" s="1"/>
  <c r="L137" i="9"/>
  <c r="M137" i="9" s="1"/>
  <c r="L297" i="9"/>
  <c r="M297" i="9" s="1"/>
  <c r="L73" i="9"/>
  <c r="M73" i="9" s="1"/>
  <c r="G295" i="9"/>
  <c r="AI293" i="22" s="1"/>
  <c r="AJ293" i="22" s="1"/>
  <c r="L60" i="9"/>
  <c r="M60" i="9" s="1"/>
  <c r="L46" i="9"/>
  <c r="M46" i="9" s="1"/>
  <c r="L311" i="9"/>
  <c r="M311" i="9" s="1"/>
  <c r="G150" i="9"/>
  <c r="AI148" i="22" s="1"/>
  <c r="AJ148" i="22" s="1"/>
  <c r="L284" i="9"/>
  <c r="M284" i="9" s="1"/>
  <c r="G108" i="9"/>
  <c r="AI105" i="22" s="1"/>
  <c r="L106" i="9"/>
  <c r="M106" i="9" s="1"/>
  <c r="G89" i="9"/>
  <c r="L131" i="9"/>
  <c r="M131" i="9" s="1"/>
  <c r="G99" i="9"/>
  <c r="G53" i="9"/>
  <c r="L173" i="9"/>
  <c r="M173" i="9" s="1"/>
  <c r="L218" i="9"/>
  <c r="M218" i="9" s="1"/>
  <c r="G308" i="9"/>
  <c r="AI306" i="22" s="1"/>
  <c r="AJ306" i="22" s="1"/>
  <c r="G64" i="9"/>
  <c r="AI61" i="22" s="1"/>
  <c r="G282" i="9"/>
  <c r="AI280" i="22" s="1"/>
  <c r="AJ280" i="22" s="1"/>
  <c r="G151" i="9"/>
  <c r="AI149" i="22" s="1"/>
  <c r="AJ149" i="22" s="1"/>
  <c r="L163" i="9"/>
  <c r="M163" i="9" s="1"/>
  <c r="L136" i="9"/>
  <c r="M136" i="9" s="1"/>
  <c r="G277" i="9"/>
  <c r="AI275" i="22" s="1"/>
  <c r="AJ275" i="22" s="1"/>
  <c r="L45" i="9"/>
  <c r="M45" i="9" s="1"/>
  <c r="L172" i="9"/>
  <c r="M172" i="9" s="1"/>
  <c r="G134" i="9"/>
  <c r="AI131" i="22" s="1"/>
  <c r="AJ131" i="22" s="1"/>
  <c r="L194" i="9"/>
  <c r="M194" i="9" s="1"/>
  <c r="G309" i="9"/>
  <c r="AI311" i="22" s="1"/>
  <c r="AJ311" i="22" s="1"/>
  <c r="G278" i="9"/>
  <c r="AI276" i="22" s="1"/>
  <c r="AJ276" i="22" s="1"/>
  <c r="G159" i="9"/>
  <c r="AI156" i="22" s="1"/>
  <c r="AJ156" i="22" s="1"/>
  <c r="G312" i="9"/>
  <c r="AI309" i="22" s="1"/>
  <c r="AJ309" i="22" s="1"/>
  <c r="L313" i="9"/>
  <c r="M313" i="9" s="1"/>
  <c r="G23" i="9"/>
  <c r="L98" i="9"/>
  <c r="M98" i="9" s="1"/>
  <c r="G155" i="9"/>
  <c r="AI153" i="22" s="1"/>
  <c r="AJ153" i="22" s="1"/>
  <c r="L67" i="9"/>
  <c r="M67" i="9" s="1"/>
  <c r="G67" i="9"/>
  <c r="L293" i="9"/>
  <c r="M293" i="9" s="1"/>
  <c r="G179" i="9"/>
  <c r="AI176" i="22" s="1"/>
  <c r="AJ176" i="22" s="1"/>
  <c r="G120" i="9"/>
  <c r="AI117" i="22" s="1"/>
  <c r="AJ117" i="22" s="1"/>
  <c r="L41" i="9"/>
  <c r="M41" i="9" s="1"/>
  <c r="L58" i="9"/>
  <c r="M58" i="9" s="1"/>
  <c r="G58" i="9"/>
  <c r="G26" i="9"/>
  <c r="AI23" i="22" s="1"/>
  <c r="G218" i="9"/>
  <c r="AI216" i="22" s="1"/>
  <c r="AJ216" i="22" s="1"/>
  <c r="G27" i="9"/>
  <c r="L124" i="9"/>
  <c r="M124" i="9" s="1"/>
  <c r="G173" i="9"/>
  <c r="AI170" i="22" s="1"/>
  <c r="AJ170" i="22" s="1"/>
  <c r="L138" i="9"/>
  <c r="M138" i="9" s="1"/>
  <c r="G42" i="9"/>
  <c r="AI39" i="22" s="1"/>
  <c r="L308" i="9"/>
  <c r="M308" i="9" s="1"/>
  <c r="L61" i="9"/>
  <c r="M61" i="9" s="1"/>
  <c r="G299" i="9"/>
  <c r="AI297" i="22" s="1"/>
  <c r="AJ297" i="22" s="1"/>
  <c r="G100" i="9"/>
  <c r="G66" i="9"/>
  <c r="G296" i="9"/>
  <c r="AI294" i="22" s="1"/>
  <c r="AJ294" i="22" s="1"/>
  <c r="L38" i="9"/>
  <c r="M38" i="9" s="1"/>
  <c r="L156" i="9"/>
  <c r="M156" i="9" s="1"/>
  <c r="L214" i="9"/>
  <c r="M214" i="9" s="1"/>
  <c r="G163" i="9"/>
  <c r="AI160" i="22" s="1"/>
  <c r="AJ160" i="22" s="1"/>
  <c r="L54" i="9"/>
  <c r="M54" i="9" s="1"/>
  <c r="L120" i="9"/>
  <c r="M120" i="9" s="1"/>
  <c r="G297" i="9"/>
  <c r="AI295" i="22" s="1"/>
  <c r="AJ295" i="22" s="1"/>
  <c r="L285" i="9"/>
  <c r="M285" i="9" s="1"/>
  <c r="G125" i="9"/>
  <c r="AI122" i="22" s="1"/>
  <c r="AJ122" i="22" s="1"/>
  <c r="G158" i="9"/>
  <c r="AI196" i="22" s="1"/>
  <c r="AJ196" i="22" s="1"/>
  <c r="L278" i="9"/>
  <c r="M278" i="9" s="1"/>
  <c r="G74" i="9"/>
  <c r="AI71" i="22" s="1"/>
  <c r="G98" i="9"/>
  <c r="AI95" i="22" s="1"/>
  <c r="L280" i="9"/>
  <c r="M280" i="9" s="1"/>
  <c r="L91" i="9"/>
  <c r="M91" i="9" s="1"/>
  <c r="G147" i="9"/>
  <c r="AI145" i="22" s="1"/>
  <c r="AJ145" i="22" s="1"/>
  <c r="L30" i="9"/>
  <c r="M30" i="9" s="1"/>
  <c r="G88" i="9"/>
  <c r="AI85" i="22" s="1"/>
  <c r="G287" i="9"/>
  <c r="AI285" i="22" s="1"/>
  <c r="AJ285" i="22" s="1"/>
  <c r="G293" i="9"/>
  <c r="AI291" i="22" s="1"/>
  <c r="AJ291" i="22" s="1"/>
  <c r="G38" i="9"/>
  <c r="AI35" i="22" s="1"/>
  <c r="G80" i="9"/>
  <c r="AI77" i="22" s="1"/>
  <c r="L303" i="9"/>
  <c r="M303" i="9" s="1"/>
  <c r="G106" i="9"/>
  <c r="AI103" i="22" s="1"/>
  <c r="L59" i="9"/>
  <c r="M59" i="9" s="1"/>
  <c r="G54" i="9"/>
  <c r="L153" i="9"/>
  <c r="M153" i="9" s="1"/>
  <c r="G129" i="9"/>
  <c r="AI126" i="22" s="1"/>
  <c r="AJ126" i="22" s="1"/>
  <c r="G44" i="9"/>
  <c r="G291" i="9"/>
  <c r="AI289" i="22" s="1"/>
  <c r="AJ289" i="22" s="1"/>
  <c r="L310" i="9"/>
  <c r="M310" i="9" s="1"/>
  <c r="L132" i="9"/>
  <c r="M132" i="9" s="1"/>
  <c r="L77" i="9"/>
  <c r="M77" i="9" s="1"/>
  <c r="L78" i="9"/>
  <c r="M78" i="9" s="1"/>
  <c r="G188" i="9"/>
  <c r="AI185" i="22" s="1"/>
  <c r="AJ185" i="22" s="1"/>
  <c r="G70" i="9"/>
  <c r="G61" i="9"/>
  <c r="L169" i="9"/>
  <c r="M169" i="9" s="1"/>
  <c r="G301" i="9"/>
  <c r="AI299" i="22" s="1"/>
  <c r="AJ299" i="22" s="1"/>
  <c r="G214" i="9"/>
  <c r="AI212" i="22" s="1"/>
  <c r="AJ212" i="22" s="1"/>
  <c r="L40" i="9"/>
  <c r="M40" i="9" s="1"/>
  <c r="L50" i="9"/>
  <c r="M50" i="9" s="1"/>
  <c r="L125" i="9"/>
  <c r="M125" i="9" s="1"/>
  <c r="G114" i="9"/>
  <c r="AI111" i="22" s="1"/>
  <c r="AJ111" i="22" s="1"/>
  <c r="G90" i="9"/>
  <c r="AI87" i="22" s="1"/>
  <c r="L174" i="9"/>
  <c r="M174" i="9" s="1"/>
  <c r="G136" i="9"/>
  <c r="AI133" i="22" s="1"/>
  <c r="AJ133" i="22" s="1"/>
  <c r="L116" i="9"/>
  <c r="M116" i="9" s="1"/>
  <c r="L121" i="9"/>
  <c r="M121" i="9" s="1"/>
  <c r="G284" i="9"/>
  <c r="AI282" i="22" s="1"/>
  <c r="AJ282" i="22" s="1"/>
  <c r="L287" i="9"/>
  <c r="M287" i="9" s="1"/>
  <c r="G170" i="9"/>
  <c r="AI167" i="22" s="1"/>
  <c r="AJ167" i="22" s="1"/>
  <c r="L117" i="9"/>
  <c r="M117" i="9" s="1"/>
  <c r="G63" i="9"/>
  <c r="G160" i="9"/>
  <c r="AI157" i="22" s="1"/>
  <c r="AJ157" i="22" s="1"/>
  <c r="G51" i="9"/>
  <c r="L95" i="9"/>
  <c r="M95" i="9" s="1"/>
  <c r="L23" i="9"/>
  <c r="M23" i="9" s="1"/>
  <c r="L185" i="9"/>
  <c r="M185" i="9" s="1"/>
  <c r="G191" i="9"/>
  <c r="AI188" i="22" s="1"/>
  <c r="AJ188" i="22" s="1"/>
  <c r="L126" i="9"/>
  <c r="M126" i="9" s="1"/>
  <c r="L109" i="9"/>
  <c r="M109" i="9" s="1"/>
  <c r="G126" i="9"/>
  <c r="AI123" i="22" s="1"/>
  <c r="AJ123" i="22" s="1"/>
  <c r="G303" i="9"/>
  <c r="AI301" i="22" s="1"/>
  <c r="AJ301" i="22" s="1"/>
  <c r="G49" i="9"/>
  <c r="AI46" i="22" s="1"/>
  <c r="L298" i="9"/>
  <c r="M298" i="9" s="1"/>
  <c r="G157" i="9"/>
  <c r="AI155" i="22" s="1"/>
  <c r="AJ155" i="22" s="1"/>
  <c r="L301" i="9"/>
  <c r="M301" i="9" s="1"/>
  <c r="G185" i="9"/>
  <c r="AI182" i="22" s="1"/>
  <c r="AJ182" i="22" s="1"/>
  <c r="L105" i="9"/>
  <c r="M105" i="9" s="1"/>
  <c r="L49" i="9"/>
  <c r="M49" i="9" s="1"/>
  <c r="L20" i="9"/>
  <c r="M20" i="9" s="1"/>
  <c r="G72" i="9"/>
  <c r="G186" i="9"/>
  <c r="AI183" i="22" s="1"/>
  <c r="AJ183" i="22" s="1"/>
  <c r="L97" i="9"/>
  <c r="M97" i="9" s="1"/>
  <c r="G280" i="9"/>
  <c r="AI278" i="22" s="1"/>
  <c r="AJ278" i="22" s="1"/>
  <c r="G116" i="9"/>
  <c r="AI113" i="22" s="1"/>
  <c r="AJ113" i="22" s="1"/>
  <c r="G104" i="9"/>
  <c r="AI101" i="22" s="1"/>
  <c r="G92" i="9"/>
  <c r="G121" i="9"/>
  <c r="AI118" i="22" s="1"/>
  <c r="AJ118" i="22" s="1"/>
  <c r="G93" i="9"/>
  <c r="L32" i="9"/>
  <c r="M32" i="9" s="1"/>
  <c r="L89" i="9"/>
  <c r="M89" i="9" s="1"/>
  <c r="L177" i="9"/>
  <c r="M177" i="9" s="1"/>
  <c r="L179" i="9"/>
  <c r="M179" i="9" s="1"/>
  <c r="L197" i="9"/>
  <c r="M197" i="9" s="1"/>
  <c r="G165" i="9"/>
  <c r="AI162" i="22" s="1"/>
  <c r="AJ162" i="22" s="1"/>
  <c r="G143" i="9"/>
  <c r="AI141" i="22" s="1"/>
  <c r="AJ141" i="22" s="1"/>
  <c r="G195" i="9"/>
  <c r="AI192" i="22" s="1"/>
  <c r="AJ192" i="22" s="1"/>
  <c r="L99" i="9"/>
  <c r="M99" i="9" s="1"/>
  <c r="L127" i="9"/>
  <c r="M127" i="9" s="1"/>
  <c r="G29" i="9"/>
  <c r="AI26" i="22" s="1"/>
  <c r="L103" i="9"/>
  <c r="M103" i="9" s="1"/>
  <c r="L74" i="9"/>
  <c r="M74" i="9" s="1"/>
  <c r="L75" i="9"/>
  <c r="M75" i="9" s="1"/>
  <c r="G162" i="9"/>
  <c r="AI159" i="22" s="1"/>
  <c r="AJ159" i="22" s="1"/>
  <c r="G144" i="9"/>
  <c r="AI142" i="22" s="1"/>
  <c r="AJ142" i="22" s="1"/>
  <c r="L145" i="9"/>
  <c r="M145" i="9" s="1"/>
  <c r="G169" i="9"/>
  <c r="AI166" i="22" s="1"/>
  <c r="AJ166" i="22" s="1"/>
  <c r="G304" i="9"/>
  <c r="AI302" i="22" s="1"/>
  <c r="AJ302" i="22" s="1"/>
  <c r="G168" i="9"/>
  <c r="AI165" i="22" s="1"/>
  <c r="AJ165" i="22" s="1"/>
  <c r="L292" i="9"/>
  <c r="M292" i="9" s="1"/>
  <c r="L133" i="9"/>
  <c r="M133" i="9" s="1"/>
  <c r="L186" i="9"/>
  <c r="M186" i="9" s="1"/>
  <c r="G82" i="9"/>
  <c r="AI79" i="22" s="1"/>
  <c r="L192" i="9"/>
  <c r="M192" i="9" s="1"/>
  <c r="L25" i="9"/>
  <c r="M25" i="9" s="1"/>
  <c r="G78" i="9"/>
  <c r="AI75" i="22" s="1"/>
  <c r="G86" i="9"/>
  <c r="AI83" i="22" s="1"/>
  <c r="G316" i="9"/>
  <c r="AI314" i="22" s="1"/>
  <c r="AJ314" i="22" s="1"/>
  <c r="L182" i="9"/>
  <c r="M182" i="9" s="1"/>
  <c r="L212" i="9"/>
  <c r="M212" i="9" s="1"/>
  <c r="L157" i="9"/>
  <c r="M157" i="9" s="1"/>
  <c r="L122" i="9"/>
  <c r="M122" i="9" s="1"/>
  <c r="L152" i="9"/>
  <c r="M152" i="9" s="1"/>
  <c r="G305" i="9"/>
  <c r="AI303" i="22" s="1"/>
  <c r="AJ303" i="22" s="1"/>
  <c r="L188" i="9"/>
  <c r="M188" i="9" s="1"/>
  <c r="L165" i="9"/>
  <c r="M165" i="9" s="1"/>
  <c r="G187" i="9"/>
  <c r="AI184" i="22" s="1"/>
  <c r="AJ184" i="22" s="1"/>
  <c r="G95" i="9"/>
  <c r="AI92" i="22" s="1"/>
  <c r="L162" i="9"/>
  <c r="M162" i="9" s="1"/>
  <c r="G47" i="9"/>
  <c r="AI44" i="22" s="1"/>
  <c r="G45" i="9"/>
  <c r="G306" i="9"/>
  <c r="AI304" i="22" s="1"/>
  <c r="AJ304" i="22" s="1"/>
  <c r="G109" i="9"/>
  <c r="L100" i="9"/>
  <c r="M100" i="9" s="1"/>
  <c r="L170" i="9"/>
  <c r="M170" i="9" s="1"/>
  <c r="G182" i="9"/>
  <c r="AI179" i="22" s="1"/>
  <c r="AJ179" i="22" s="1"/>
  <c r="G19" i="9"/>
  <c r="AI16" i="22" s="1"/>
  <c r="L139" i="9"/>
  <c r="M139" i="9" s="1"/>
  <c r="G84" i="9"/>
  <c r="AI81" i="22" s="1"/>
  <c r="G210" i="9"/>
  <c r="AI207" i="22" s="1"/>
  <c r="AJ207" i="22" s="1"/>
  <c r="G25" i="9"/>
  <c r="AI22" i="22" s="1"/>
  <c r="L305" i="9"/>
  <c r="M305" i="9" s="1"/>
  <c r="L94" i="9"/>
  <c r="M94" i="9" s="1"/>
  <c r="G87" i="9"/>
  <c r="AI84" i="22" s="1"/>
  <c r="G212" i="9"/>
  <c r="AI210" i="22" s="1"/>
  <c r="AJ210" i="22" s="1"/>
  <c r="G57" i="9"/>
  <c r="AI54" i="22" s="1"/>
  <c r="L159" i="9"/>
  <c r="M159" i="9" s="1"/>
  <c r="G152" i="9"/>
  <c r="AI150" i="22" s="1"/>
  <c r="AJ150" i="22" s="1"/>
  <c r="L175" i="9"/>
  <c r="M175" i="9" s="1"/>
  <c r="G192" i="9"/>
  <c r="AI189" i="22" s="1"/>
  <c r="AJ189" i="22" s="1"/>
  <c r="G130" i="9"/>
  <c r="AI127" i="22" s="1"/>
  <c r="AJ127" i="22" s="1"/>
  <c r="L22" i="9"/>
  <c r="M22" i="9" s="1"/>
  <c r="G41" i="9"/>
  <c r="L160" i="9"/>
  <c r="M160" i="9" s="1"/>
  <c r="G50" i="9"/>
  <c r="G138" i="9"/>
  <c r="AI135" i="22" s="1"/>
  <c r="AJ135" i="22" s="1"/>
  <c r="L148" i="9"/>
  <c r="M148" i="9" s="1"/>
  <c r="L55" i="9"/>
  <c r="M55" i="9" s="1"/>
  <c r="L34" i="9"/>
  <c r="M34" i="9" s="1"/>
  <c r="G34" i="9"/>
  <c r="G310" i="9"/>
  <c r="AI307" i="22" s="1"/>
  <c r="AJ307" i="22" s="1"/>
  <c r="L211" i="9"/>
  <c r="M211" i="9" s="1"/>
  <c r="L64" i="9"/>
  <c r="M64" i="9" s="1"/>
  <c r="L299" i="9"/>
  <c r="M299" i="9" s="1"/>
  <c r="G209" i="9"/>
  <c r="AI206" i="22" s="1"/>
  <c r="AJ206" i="22" s="1"/>
  <c r="L28" i="9"/>
  <c r="M28" i="9" s="1"/>
  <c r="G40" i="9"/>
  <c r="AI37" i="22" s="1"/>
  <c r="L29" i="9"/>
  <c r="M29" i="9" s="1"/>
  <c r="L43" i="9"/>
  <c r="M43" i="9" s="1"/>
  <c r="G115" i="9"/>
  <c r="AI112" i="22" s="1"/>
  <c r="AJ112" i="22" s="1"/>
  <c r="L147" i="9"/>
  <c r="M147" i="9" s="1"/>
  <c r="L115" i="9"/>
  <c r="M115" i="9" s="1"/>
  <c r="G139" i="9"/>
  <c r="AI136" i="22" s="1"/>
  <c r="AJ136" i="22" s="1"/>
  <c r="L84" i="9"/>
  <c r="M84" i="9" s="1"/>
  <c r="G60" i="9"/>
  <c r="L295" i="9"/>
  <c r="M295" i="9" s="1"/>
  <c r="L57" i="9"/>
  <c r="M57" i="9" s="1"/>
  <c r="L114" i="9"/>
  <c r="M114" i="9" s="1"/>
  <c r="L150" i="9"/>
  <c r="M150" i="9" s="1"/>
  <c r="L85" i="9"/>
  <c r="M85" i="9" s="1"/>
  <c r="L217" i="9"/>
  <c r="M217" i="9" s="1"/>
  <c r="L86" i="9"/>
  <c r="M86" i="9" s="1"/>
  <c r="L81" i="9"/>
  <c r="M81" i="9" s="1"/>
  <c r="G174" i="9"/>
  <c r="AI171" i="22" s="1"/>
  <c r="AJ171" i="22" s="1"/>
  <c r="G117" i="9"/>
  <c r="AI114" i="22" s="1"/>
  <c r="AJ114" i="22" s="1"/>
  <c r="G31" i="9"/>
  <c r="G32" i="9"/>
  <c r="L143" i="9"/>
  <c r="M143" i="9" s="1"/>
  <c r="G153" i="9"/>
  <c r="AI151" i="22" s="1"/>
  <c r="AJ151" i="22" s="1"/>
  <c r="G127" i="9"/>
  <c r="AI124" i="22" s="1"/>
  <c r="AJ124" i="22" s="1"/>
  <c r="L144" i="9"/>
  <c r="M144" i="9" s="1"/>
  <c r="L51" i="9"/>
  <c r="M51" i="9" s="1"/>
  <c r="L107" i="9"/>
  <c r="M107" i="9" s="1"/>
  <c r="L47" i="9"/>
  <c r="M47" i="9" s="1"/>
  <c r="L26" i="9"/>
  <c r="M26" i="9" s="1"/>
  <c r="G21" i="9"/>
  <c r="AI18" i="22" s="1"/>
  <c r="L70" i="9"/>
  <c r="M70" i="9" s="1"/>
  <c r="L306" i="9"/>
  <c r="M306" i="9" s="1"/>
  <c r="L282" i="9"/>
  <c r="M282" i="9" s="1"/>
  <c r="L191" i="9"/>
  <c r="M191" i="9" s="1"/>
  <c r="G35" i="9"/>
  <c r="AI32" i="22" s="1"/>
  <c r="AJ108" i="22"/>
  <c r="AJ62" i="22"/>
  <c r="K324" i="22"/>
  <c r="AJ12" i="22"/>
  <c r="AJ15" i="22"/>
  <c r="AJ78" i="22"/>
  <c r="AJ30" i="22"/>
  <c r="G318" i="10"/>
  <c r="AJ91" i="22"/>
  <c r="AJ14" i="22"/>
  <c r="AJ11" i="22"/>
  <c r="AJ9" i="22"/>
  <c r="AI69" i="22" l="1"/>
  <c r="E77" i="30"/>
  <c r="R326" i="10"/>
  <c r="R332" i="10" s="1"/>
  <c r="G324" i="22"/>
  <c r="AF8" i="22"/>
  <c r="G10" i="9" s="1"/>
  <c r="AG8" i="22"/>
  <c r="L10" i="9" s="1"/>
  <c r="M10" i="9" s="1"/>
  <c r="S10" i="10"/>
  <c r="S326" i="10" s="1"/>
  <c r="AI100" i="22"/>
  <c r="AJ100" i="22" s="1"/>
  <c r="AI47" i="22"/>
  <c r="AJ47" i="22" s="1"/>
  <c r="AI42" i="22"/>
  <c r="AJ42" i="22" s="1"/>
  <c r="AI40" i="22"/>
  <c r="AJ40" i="22" s="1"/>
  <c r="AI86" i="22"/>
  <c r="AJ86" i="22" s="1"/>
  <c r="AI106" i="22"/>
  <c r="AJ106" i="22" s="1"/>
  <c r="AI38" i="22"/>
  <c r="AJ38" i="22" s="1"/>
  <c r="AI51" i="22"/>
  <c r="AJ51" i="22" s="1"/>
  <c r="AI24" i="22"/>
  <c r="AJ24" i="22" s="1"/>
  <c r="AI104" i="22"/>
  <c r="AJ104" i="22" s="1"/>
  <c r="AI58" i="22"/>
  <c r="AJ58" i="22" s="1"/>
  <c r="AI20" i="22"/>
  <c r="AJ20" i="22" s="1"/>
  <c r="AI36" i="22"/>
  <c r="AJ36" i="22" s="1"/>
  <c r="AI29" i="22"/>
  <c r="AJ29" i="22" s="1"/>
  <c r="AI57" i="22"/>
  <c r="AJ57" i="22" s="1"/>
  <c r="AI67" i="22"/>
  <c r="AJ67" i="22" s="1"/>
  <c r="AI19" i="22"/>
  <c r="AJ19" i="22" s="1"/>
  <c r="H307" i="9"/>
  <c r="W307" i="10" s="1"/>
  <c r="AI28" i="22"/>
  <c r="AJ28" i="22" s="1"/>
  <c r="AI63" i="22"/>
  <c r="AJ63" i="22" s="1"/>
  <c r="AI55" i="22"/>
  <c r="AJ55" i="22" s="1"/>
  <c r="AI80" i="22"/>
  <c r="AJ80" i="22" s="1"/>
  <c r="AI90" i="22"/>
  <c r="AJ90" i="22" s="1"/>
  <c r="AJ98" i="22"/>
  <c r="AI97" i="22"/>
  <c r="AJ97" i="22" s="1"/>
  <c r="H315" i="9"/>
  <c r="W315" i="10" s="1"/>
  <c r="X315" i="10" s="1"/>
  <c r="AI31" i="22"/>
  <c r="AJ31" i="22" s="1"/>
  <c r="AI52" i="22"/>
  <c r="AJ52" i="22" s="1"/>
  <c r="AI43" i="22"/>
  <c r="AJ43" i="22" s="1"/>
  <c r="AI89" i="22"/>
  <c r="AJ89" i="22" s="1"/>
  <c r="AI48" i="22"/>
  <c r="AJ48" i="22" s="1"/>
  <c r="AI49" i="22"/>
  <c r="AJ49" i="22" s="1"/>
  <c r="AI60" i="22"/>
  <c r="AJ60" i="22" s="1"/>
  <c r="AI72" i="22"/>
  <c r="AJ72" i="22" s="1"/>
  <c r="AI21" i="22"/>
  <c r="AJ21" i="22" s="1"/>
  <c r="H318" i="9"/>
  <c r="W318" i="10" s="1"/>
  <c r="X318" i="10" s="1"/>
  <c r="AI99" i="22"/>
  <c r="AJ99" i="22" s="1"/>
  <c r="AI50" i="22"/>
  <c r="AJ50" i="22" s="1"/>
  <c r="AI41" i="22"/>
  <c r="AJ41" i="22" s="1"/>
  <c r="AI64" i="22"/>
  <c r="AJ64" i="22" s="1"/>
  <c r="AI96" i="22"/>
  <c r="AJ96" i="22" s="1"/>
  <c r="AI17" i="22"/>
  <c r="AJ17" i="22" s="1"/>
  <c r="AI102" i="22"/>
  <c r="AJ102" i="22" s="1"/>
  <c r="M324" i="22"/>
  <c r="AJ27" i="22"/>
  <c r="AJ61" i="22"/>
  <c r="AJ82" i="22"/>
  <c r="AJ87" i="22"/>
  <c r="AJ45" i="22"/>
  <c r="AJ88" i="22"/>
  <c r="AJ105" i="22"/>
  <c r="AJ25" i="22"/>
  <c r="AJ68" i="22"/>
  <c r="AJ94" i="22"/>
  <c r="AJ66" i="22"/>
  <c r="AJ39" i="22"/>
  <c r="AJ74" i="22"/>
  <c r="AJ84" i="22"/>
  <c r="AJ59" i="22"/>
  <c r="AJ70" i="22"/>
  <c r="AJ44" i="22"/>
  <c r="AJ53" i="22"/>
  <c r="AJ26" i="22"/>
  <c r="AJ46" i="22"/>
  <c r="AJ56" i="22"/>
  <c r="AJ54" i="22"/>
  <c r="AJ79" i="22"/>
  <c r="AJ35" i="22"/>
  <c r="AJ73" i="22"/>
  <c r="AJ81" i="22"/>
  <c r="AJ92" i="22"/>
  <c r="AJ71" i="22"/>
  <c r="AJ75" i="22"/>
  <c r="AJ101" i="22"/>
  <c r="AJ16" i="22"/>
  <c r="AJ37" i="22"/>
  <c r="AJ95" i="22"/>
  <c r="AJ69" i="22"/>
  <c r="AJ77" i="22"/>
  <c r="AJ32" i="22"/>
  <c r="AJ33" i="22"/>
  <c r="AJ23" i="22"/>
  <c r="AJ93" i="22"/>
  <c r="AJ65" i="22"/>
  <c r="AJ85" i="22"/>
  <c r="AJ76" i="22"/>
  <c r="AJ83" i="22"/>
  <c r="AJ103" i="22"/>
  <c r="AJ18" i="22"/>
  <c r="AJ22" i="22"/>
  <c r="D10" i="10"/>
  <c r="V324" i="22"/>
  <c r="AQ324" i="22" l="1"/>
  <c r="E10" i="10"/>
  <c r="E326" i="10" s="1"/>
  <c r="AA48" i="13" s="1"/>
  <c r="AA49" i="13" s="1"/>
  <c r="D326" i="10"/>
  <c r="Z48" i="13" s="1"/>
  <c r="U326" i="10"/>
  <c r="U332" i="10" s="1"/>
  <c r="H10" i="9"/>
  <c r="W10" i="10" s="1"/>
  <c r="AI8" i="22"/>
  <c r="AJ8" i="22" s="1"/>
  <c r="G326" i="9"/>
  <c r="G332" i="9" s="1"/>
  <c r="L326" i="9"/>
  <c r="L332" i="9" s="1"/>
  <c r="S332" i="10"/>
  <c r="AG324" i="22"/>
  <c r="AF324" i="22"/>
  <c r="X10" i="10" l="1"/>
  <c r="P46" i="13"/>
  <c r="P45" i="13"/>
  <c r="F10" i="10"/>
  <c r="F326" i="10" s="1"/>
  <c r="T326" i="10"/>
  <c r="T332" i="10" s="1"/>
  <c r="G10" i="10"/>
  <c r="G326" i="10" s="1"/>
  <c r="AC48" i="13" s="1"/>
  <c r="AC49" i="13" s="1"/>
  <c r="M326" i="9"/>
  <c r="M332" i="9" s="1"/>
  <c r="P48" i="13" l="1"/>
  <c r="P47" i="13"/>
  <c r="AB48" i="13"/>
  <c r="AB49" i="13" s="1"/>
  <c r="O186" i="9"/>
  <c r="Q186" i="9" s="1"/>
  <c r="O185" i="9"/>
  <c r="Q185" i="9" s="1"/>
  <c r="O85" i="9"/>
  <c r="Q85" i="9" s="1"/>
  <c r="O237" i="9"/>
  <c r="Q237" i="9" s="1"/>
  <c r="O202" i="9"/>
  <c r="Q202" i="9" s="1"/>
  <c r="O205" i="9"/>
  <c r="Q205" i="9" s="1"/>
  <c r="O76" i="9"/>
  <c r="Q76" i="9" s="1"/>
  <c r="O34" i="9"/>
  <c r="Q34" i="9" s="1"/>
  <c r="O175" i="9"/>
  <c r="Q175" i="9" s="1"/>
  <c r="O257" i="9"/>
  <c r="Q257" i="9" s="1"/>
  <c r="O229" i="9"/>
  <c r="Q229" i="9" s="1"/>
  <c r="O92" i="9"/>
  <c r="Q92" i="9" s="1"/>
  <c r="O221" i="9"/>
  <c r="Q221" i="9" s="1"/>
  <c r="O167" i="9"/>
  <c r="Q167" i="9" s="1"/>
  <c r="O77" i="9"/>
  <c r="Q77" i="9" s="1"/>
  <c r="O283" i="9"/>
  <c r="Q283" i="9" s="1"/>
  <c r="O253" i="9"/>
  <c r="Q253" i="9" s="1"/>
  <c r="O113" i="9"/>
  <c r="Q113" i="9" s="1"/>
  <c r="O293" i="9"/>
  <c r="Q293" i="9" s="1"/>
  <c r="O89" i="9"/>
  <c r="Q89" i="9" s="1"/>
  <c r="O183" i="9"/>
  <c r="Q183" i="9" s="1"/>
  <c r="O291" i="9"/>
  <c r="Q291" i="9" s="1"/>
  <c r="O168" i="9"/>
  <c r="Q168" i="9" s="1"/>
  <c r="O133" i="9"/>
  <c r="Q133" i="9" s="1"/>
  <c r="O66" i="9"/>
  <c r="Q66" i="9" s="1"/>
  <c r="O31" i="9"/>
  <c r="Q31" i="9" s="1"/>
  <c r="O214" i="9"/>
  <c r="Q214" i="9" s="1"/>
  <c r="O189" i="9"/>
  <c r="Q189" i="9" s="1"/>
  <c r="O207" i="9"/>
  <c r="Q207" i="9" s="1"/>
  <c r="O182" i="9"/>
  <c r="Q182" i="9" s="1"/>
  <c r="O140" i="9"/>
  <c r="Q140" i="9" s="1"/>
  <c r="O276" i="9"/>
  <c r="Q276" i="9" s="1"/>
  <c r="O88" i="9"/>
  <c r="Q88" i="9" s="1"/>
  <c r="O179" i="9"/>
  <c r="Q179" i="9" s="1"/>
  <c r="O149" i="9"/>
  <c r="Q149" i="9" s="1"/>
  <c r="O150" i="9"/>
  <c r="Q150" i="9" s="1"/>
  <c r="O160" i="9"/>
  <c r="Q160" i="9" s="1"/>
  <c r="O118" i="9"/>
  <c r="Q118" i="9" s="1"/>
  <c r="O231" i="9"/>
  <c r="Q231" i="9" s="1"/>
  <c r="O16" i="9"/>
  <c r="Q16" i="9" s="1"/>
  <c r="O303" i="9"/>
  <c r="Q303" i="9" s="1"/>
  <c r="O218" i="9"/>
  <c r="Q218" i="9" s="1"/>
  <c r="O55" i="9"/>
  <c r="Q55" i="9" s="1"/>
  <c r="O47" i="9"/>
  <c r="Q47" i="9" s="1"/>
  <c r="O146" i="9"/>
  <c r="Q146" i="9" s="1"/>
  <c r="O309" i="9"/>
  <c r="Q309" i="9" s="1"/>
  <c r="O114" i="9"/>
  <c r="Q114" i="9" s="1"/>
  <c r="O103" i="9"/>
  <c r="Q103" i="9" s="1"/>
  <c r="O267" i="9"/>
  <c r="Q267" i="9" s="1"/>
  <c r="O57" i="9"/>
  <c r="Q57" i="9" s="1"/>
  <c r="O52" i="9"/>
  <c r="Q52" i="9" s="1"/>
  <c r="O273" i="9"/>
  <c r="Q273" i="9" s="1"/>
  <c r="O264" i="9"/>
  <c r="Q264" i="9" s="1"/>
  <c r="O49" i="9"/>
  <c r="Q49" i="9" s="1"/>
  <c r="O42" i="9"/>
  <c r="Q42" i="9" s="1"/>
  <c r="O19" i="9"/>
  <c r="Q19" i="9" s="1"/>
  <c r="O65" i="9"/>
  <c r="Q65" i="9" s="1"/>
  <c r="O129" i="9"/>
  <c r="Q129" i="9" s="1"/>
  <c r="O248" i="9"/>
  <c r="Q248" i="9" s="1"/>
  <c r="O238" i="9"/>
  <c r="Q238" i="9" s="1"/>
  <c r="O41" i="9"/>
  <c r="Q41" i="9" s="1"/>
  <c r="O263" i="9"/>
  <c r="Q263" i="9" s="1"/>
  <c r="O163" i="9"/>
  <c r="Q163" i="9" s="1"/>
  <c r="O13" i="9"/>
  <c r="Q13" i="9" s="1"/>
  <c r="O258" i="9"/>
  <c r="Q258" i="9" s="1"/>
  <c r="O284" i="9"/>
  <c r="Q284" i="9" s="1"/>
  <c r="O226" i="9"/>
  <c r="Q226" i="9" s="1"/>
  <c r="O314" i="9"/>
  <c r="Q314" i="9" s="1"/>
  <c r="O132" i="9"/>
  <c r="Q132" i="9" s="1"/>
  <c r="O125" i="9"/>
  <c r="Q125" i="9" s="1"/>
  <c r="O307" i="9"/>
  <c r="Q307" i="9" s="1"/>
  <c r="O244" i="9"/>
  <c r="Q244" i="9" s="1"/>
  <c r="O139" i="9"/>
  <c r="Q139" i="9" s="1"/>
  <c r="O151" i="9"/>
  <c r="Q151" i="9" s="1"/>
  <c r="O98" i="9"/>
  <c r="Q98" i="9" s="1"/>
  <c r="O67" i="9"/>
  <c r="Q67" i="9" s="1"/>
  <c r="O153" i="9"/>
  <c r="Q153" i="9" s="1"/>
  <c r="Q316" i="9"/>
  <c r="O313" i="9"/>
  <c r="Q313" i="9" s="1"/>
  <c r="O181" i="9"/>
  <c r="Q181" i="9" s="1"/>
  <c r="O243" i="9"/>
  <c r="Q243" i="9" s="1"/>
  <c r="O252" i="9"/>
  <c r="Q252" i="9" s="1"/>
  <c r="O259" i="9"/>
  <c r="Q259" i="9" s="1"/>
  <c r="O277" i="9"/>
  <c r="Q277" i="9" s="1"/>
  <c r="O287" i="9"/>
  <c r="Q287" i="9" s="1"/>
  <c r="O108" i="9"/>
  <c r="Q108" i="9" s="1"/>
  <c r="O220" i="9"/>
  <c r="Q220" i="9" s="1"/>
  <c r="O44" i="9"/>
  <c r="Q44" i="9" s="1"/>
  <c r="O232" i="9"/>
  <c r="Q232" i="9" s="1"/>
  <c r="O247" i="9"/>
  <c r="Q247" i="9" s="1"/>
  <c r="O110" i="9"/>
  <c r="Q110" i="9" s="1"/>
  <c r="O156" i="9"/>
  <c r="Q156" i="9" s="1"/>
  <c r="O165" i="9"/>
  <c r="Q165" i="9" s="1"/>
  <c r="O101" i="9"/>
  <c r="Q101" i="9" s="1"/>
  <c r="O48" i="9"/>
  <c r="Q48" i="9" s="1"/>
  <c r="O217" i="9"/>
  <c r="Q217" i="9" s="1"/>
  <c r="O184" i="9"/>
  <c r="Q184" i="9" s="1"/>
  <c r="O40" i="9"/>
  <c r="Q40" i="9" s="1"/>
  <c r="O62" i="9"/>
  <c r="Q62" i="9" s="1"/>
  <c r="O73" i="9"/>
  <c r="Q73" i="9" s="1"/>
  <c r="O310" i="9"/>
  <c r="Q310" i="9" s="1"/>
  <c r="O285" i="9"/>
  <c r="Q285" i="9" s="1"/>
  <c r="O123" i="9"/>
  <c r="Q123" i="9" s="1"/>
  <c r="O121" i="9"/>
  <c r="Q121" i="9" s="1"/>
  <c r="O69" i="9"/>
  <c r="Q69" i="9" s="1"/>
  <c r="O78" i="9"/>
  <c r="Q78" i="9" s="1"/>
  <c r="O170" i="9"/>
  <c r="Q170" i="9" s="1"/>
  <c r="O143" i="9"/>
  <c r="Q143" i="9" s="1"/>
  <c r="O25" i="9"/>
  <c r="Q25" i="9" s="1"/>
  <c r="O75" i="9"/>
  <c r="Q75" i="9" s="1"/>
  <c r="O72" i="9"/>
  <c r="Q72" i="9" s="1"/>
  <c r="O312" i="9"/>
  <c r="Q312" i="9" s="1"/>
  <c r="O211" i="9"/>
  <c r="Q211" i="9" s="1"/>
  <c r="O32" i="9"/>
  <c r="Q32" i="9" s="1"/>
  <c r="O53" i="9"/>
  <c r="Q53" i="9" s="1"/>
  <c r="O227" i="9"/>
  <c r="Q227" i="9" s="1"/>
  <c r="O289" i="9"/>
  <c r="Q289" i="9" s="1"/>
  <c r="O295" i="9"/>
  <c r="Q295" i="9" s="1"/>
  <c r="O95" i="9"/>
  <c r="Q95" i="9" s="1"/>
  <c r="O269" i="9"/>
  <c r="Q269" i="9" s="1"/>
  <c r="O22" i="9"/>
  <c r="Q22" i="9" s="1"/>
  <c r="O152" i="9"/>
  <c r="Q152" i="9" s="1"/>
  <c r="O201" i="9"/>
  <c r="Q201" i="9" s="1"/>
  <c r="O210" i="9"/>
  <c r="Q210" i="9" s="1"/>
  <c r="O74" i="9"/>
  <c r="Q74" i="9" s="1"/>
  <c r="O161" i="9"/>
  <c r="Q161" i="9" s="1"/>
  <c r="O27" i="9"/>
  <c r="Q27" i="9" s="1"/>
  <c r="O281" i="9"/>
  <c r="Q281" i="9" s="1"/>
  <c r="O116" i="9"/>
  <c r="Q116" i="9" s="1"/>
  <c r="O200" i="9"/>
  <c r="Q200" i="9" s="1"/>
  <c r="O298" i="9"/>
  <c r="Q298" i="9" s="1"/>
  <c r="O134" i="9"/>
  <c r="Q134" i="9" s="1"/>
  <c r="O83" i="9"/>
  <c r="Q83" i="9" s="1"/>
  <c r="O90" i="9"/>
  <c r="Q90" i="9" s="1"/>
  <c r="O290" i="9"/>
  <c r="Q290" i="9" s="1"/>
  <c r="O157" i="9"/>
  <c r="Q157" i="9" s="1"/>
  <c r="O11" i="9"/>
  <c r="Q11" i="9" s="1"/>
  <c r="O279" i="9"/>
  <c r="Q279" i="9" s="1"/>
  <c r="O230" i="9"/>
  <c r="Q230" i="9" s="1"/>
  <c r="O68" i="9"/>
  <c r="Q68" i="9" s="1"/>
  <c r="O39" i="9"/>
  <c r="Q39" i="9" s="1"/>
  <c r="O28" i="9"/>
  <c r="Q28" i="9" s="1"/>
  <c r="O166" i="9"/>
  <c r="Q166" i="9" s="1"/>
  <c r="O111" i="9"/>
  <c r="Q111" i="9" s="1"/>
  <c r="O173" i="9"/>
  <c r="Q173" i="9" s="1"/>
  <c r="O105" i="9"/>
  <c r="Q105" i="9" s="1"/>
  <c r="O155" i="9"/>
  <c r="Q155" i="9" s="1"/>
  <c r="O50" i="9"/>
  <c r="Q50" i="9" s="1"/>
  <c r="O79" i="9"/>
  <c r="Q79" i="9" s="1"/>
  <c r="O190" i="9"/>
  <c r="Q190" i="9" s="1"/>
  <c r="O135" i="9"/>
  <c r="Q135" i="9" s="1"/>
  <c r="O26" i="9"/>
  <c r="Q26" i="9" s="1"/>
  <c r="O213" i="9"/>
  <c r="Q213" i="9" s="1"/>
  <c r="O216" i="9"/>
  <c r="Q216" i="9" s="1"/>
  <c r="O86" i="9"/>
  <c r="Q86" i="9" s="1"/>
  <c r="O107" i="9"/>
  <c r="Q107" i="9" s="1"/>
  <c r="O261" i="9"/>
  <c r="Q261" i="9" s="1"/>
  <c r="O33" i="9"/>
  <c r="Q33" i="9" s="1"/>
  <c r="O219" i="9"/>
  <c r="Q219" i="9" s="1"/>
  <c r="O137" i="9"/>
  <c r="Q137" i="9" s="1"/>
  <c r="O193" i="9"/>
  <c r="Q193" i="9" s="1"/>
  <c r="O172" i="9"/>
  <c r="Q172" i="9" s="1"/>
  <c r="O58" i="9"/>
  <c r="Q58" i="9" s="1"/>
  <c r="O302" i="9"/>
  <c r="Q302" i="9" s="1"/>
  <c r="O94" i="9"/>
  <c r="Q94" i="9" s="1"/>
  <c r="O43" i="9"/>
  <c r="Q43" i="9" s="1"/>
  <c r="O262" i="9"/>
  <c r="Q262" i="9" s="1"/>
  <c r="O212" i="9"/>
  <c r="Q212" i="9" s="1"/>
  <c r="O199" i="9"/>
  <c r="Q199" i="9" s="1"/>
  <c r="O296" i="9"/>
  <c r="Q296" i="9" s="1"/>
  <c r="O120" i="9"/>
  <c r="Q120" i="9" s="1"/>
  <c r="O245" i="9"/>
  <c r="Q245" i="9" s="1"/>
  <c r="O82" i="9"/>
  <c r="Q82" i="9" s="1"/>
  <c r="O96" i="9"/>
  <c r="Q96" i="9" s="1"/>
  <c r="O235" i="9"/>
  <c r="Q235" i="9" s="1"/>
  <c r="O138" i="9"/>
  <c r="Q138" i="9" s="1"/>
  <c r="O195" i="9"/>
  <c r="Q195" i="9" s="1"/>
  <c r="O304" i="9"/>
  <c r="Q304" i="9" s="1"/>
  <c r="O117" i="9"/>
  <c r="Q117" i="9" s="1"/>
  <c r="O136" i="9"/>
  <c r="Q136" i="9" s="1"/>
  <c r="O38" i="9"/>
  <c r="Q38" i="9" s="1"/>
  <c r="O249" i="9"/>
  <c r="Q249" i="9" s="1"/>
  <c r="O234" i="9"/>
  <c r="Q234" i="9" s="1"/>
  <c r="O122" i="9"/>
  <c r="Q122" i="9" s="1"/>
  <c r="O124" i="9"/>
  <c r="Q124" i="9" s="1"/>
  <c r="O241" i="9"/>
  <c r="Q241" i="9" s="1"/>
  <c r="O180" i="9"/>
  <c r="Q180" i="9" s="1"/>
  <c r="O30" i="9"/>
  <c r="Q30" i="9" s="1"/>
  <c r="O292" i="9"/>
  <c r="Q292" i="9" s="1"/>
  <c r="O278" i="9"/>
  <c r="Q278" i="9" s="1"/>
  <c r="O187" i="9"/>
  <c r="Q187" i="9" s="1"/>
  <c r="O21" i="9"/>
  <c r="Q21" i="9" s="1"/>
  <c r="O275" i="9"/>
  <c r="Q275" i="9" s="1"/>
  <c r="O24" i="9"/>
  <c r="Q24" i="9" s="1"/>
  <c r="O106" i="9"/>
  <c r="Q106" i="9" s="1"/>
  <c r="O294" i="9"/>
  <c r="Q294" i="9" s="1"/>
  <c r="O141" i="9"/>
  <c r="Q141" i="9" s="1"/>
  <c r="O192" i="9"/>
  <c r="Q192" i="9" s="1"/>
  <c r="O54" i="9"/>
  <c r="Q54" i="9" s="1"/>
  <c r="O158" i="9"/>
  <c r="Q158" i="9" s="1"/>
  <c r="O99" i="9"/>
  <c r="Q99" i="9" s="1"/>
  <c r="O255" i="9"/>
  <c r="Q255" i="9" s="1"/>
  <c r="O254" i="9"/>
  <c r="Q254" i="9" s="1"/>
  <c r="O288" i="9"/>
  <c r="Q288" i="9" s="1"/>
  <c r="O159" i="9"/>
  <c r="Q159" i="9" s="1"/>
  <c r="O194" i="9"/>
  <c r="Q194" i="9" s="1"/>
  <c r="O256" i="9"/>
  <c r="Q256" i="9" s="1"/>
  <c r="O84" i="9"/>
  <c r="Q84" i="9" s="1"/>
  <c r="O23" i="9"/>
  <c r="Q23" i="9" s="1"/>
  <c r="O297" i="9"/>
  <c r="Q297" i="9" s="1"/>
  <c r="O29" i="9"/>
  <c r="Q29" i="9" s="1"/>
  <c r="O188" i="9"/>
  <c r="Q188" i="9" s="1"/>
  <c r="O162" i="9"/>
  <c r="Q162" i="9" s="1"/>
  <c r="O18" i="9"/>
  <c r="Q18" i="9" s="1"/>
  <c r="O97" i="9"/>
  <c r="Q97" i="9" s="1"/>
  <c r="O236" i="9"/>
  <c r="Q236" i="9" s="1"/>
  <c r="O250" i="9"/>
  <c r="Q250" i="9" s="1"/>
  <c r="O51" i="9"/>
  <c r="Q51" i="9" s="1"/>
  <c r="O119" i="9"/>
  <c r="Q119" i="9" s="1"/>
  <c r="O311" i="9"/>
  <c r="Q311" i="9" s="1"/>
  <c r="O300" i="9"/>
  <c r="Q300" i="9" s="1"/>
  <c r="O131" i="9"/>
  <c r="Q131" i="9" s="1"/>
  <c r="O265" i="9"/>
  <c r="Q265" i="9" s="1"/>
  <c r="O260" i="9"/>
  <c r="Q260" i="9" s="1"/>
  <c r="O240" i="9"/>
  <c r="Q240" i="9" s="1"/>
  <c r="O272" i="9"/>
  <c r="Q272" i="9" s="1"/>
  <c r="O215" i="9"/>
  <c r="Q215" i="9" s="1"/>
  <c r="O198" i="9"/>
  <c r="Q198" i="9" s="1"/>
  <c r="O104" i="9"/>
  <c r="Q104" i="9" s="1"/>
  <c r="O45" i="9"/>
  <c r="Q45" i="9" s="1"/>
  <c r="O154" i="9"/>
  <c r="Q154" i="9" s="1"/>
  <c r="O233" i="9"/>
  <c r="Q233" i="9" s="1"/>
  <c r="O147" i="9"/>
  <c r="Q147" i="9" s="1"/>
  <c r="O203" i="9"/>
  <c r="Q203" i="9" s="1"/>
  <c r="O197" i="9"/>
  <c r="Q197" i="9" s="1"/>
  <c r="O178" i="9"/>
  <c r="Q178" i="9" s="1"/>
  <c r="O204" i="9"/>
  <c r="Q204" i="9" s="1"/>
  <c r="O177" i="9"/>
  <c r="Q177" i="9" s="1"/>
  <c r="O93" i="9"/>
  <c r="Q93" i="9" s="1"/>
  <c r="O174" i="9"/>
  <c r="Q174" i="9" s="1"/>
  <c r="O301" i="9"/>
  <c r="Q301" i="9" s="1"/>
  <c r="O63" i="9"/>
  <c r="Q63" i="9" s="1"/>
  <c r="O91" i="9"/>
  <c r="Q91" i="9" s="1"/>
  <c r="O242" i="9"/>
  <c r="Q242" i="9" s="1"/>
  <c r="O274" i="9"/>
  <c r="Q274" i="9" s="1"/>
  <c r="O20" i="9"/>
  <c r="Q20" i="9" s="1"/>
  <c r="O176" i="9"/>
  <c r="Q176" i="9" s="1"/>
  <c r="O305" i="9"/>
  <c r="Q305" i="9" s="1"/>
  <c r="O280" i="9"/>
  <c r="Q280" i="9" s="1"/>
  <c r="O37" i="9"/>
  <c r="Q37" i="9" s="1"/>
  <c r="O268" i="9"/>
  <c r="Q268" i="9" s="1"/>
  <c r="O228" i="9"/>
  <c r="Q228" i="9" s="1"/>
  <c r="O164" i="9"/>
  <c r="Q164" i="9" s="1"/>
  <c r="O286" i="9"/>
  <c r="Q286" i="9" s="1"/>
  <c r="O127" i="9"/>
  <c r="Q127" i="9" s="1"/>
  <c r="O223" i="9"/>
  <c r="Q223" i="9" s="1"/>
  <c r="O142" i="9"/>
  <c r="Q142" i="9" s="1"/>
  <c r="O128" i="9"/>
  <c r="Q128" i="9" s="1"/>
  <c r="O87" i="9"/>
  <c r="Q87" i="9" s="1"/>
  <c r="O206" i="9"/>
  <c r="Q206" i="9" s="1"/>
  <c r="O71" i="9"/>
  <c r="Q71" i="9" s="1"/>
  <c r="O46" i="9"/>
  <c r="Q46" i="9" s="1"/>
  <c r="O14" i="9"/>
  <c r="Q14" i="9" s="1"/>
  <c r="O17" i="9"/>
  <c r="Q17" i="9" s="1"/>
  <c r="O81" i="9"/>
  <c r="Q81" i="9" s="1"/>
  <c r="O80" i="9"/>
  <c r="Q80" i="9" s="1"/>
  <c r="O171" i="9"/>
  <c r="Q171" i="9" s="1"/>
  <c r="O148" i="9"/>
  <c r="Q148" i="9" s="1"/>
  <c r="O144" i="9"/>
  <c r="Q144" i="9" s="1"/>
  <c r="O56" i="9"/>
  <c r="Q56" i="9" s="1"/>
  <c r="O130" i="9"/>
  <c r="Q130" i="9" s="1"/>
  <c r="O59" i="9"/>
  <c r="Q59" i="9" s="1"/>
  <c r="O270" i="9"/>
  <c r="Q270" i="9" s="1"/>
  <c r="O115" i="9"/>
  <c r="Q115" i="9" s="1"/>
  <c r="O102" i="9"/>
  <c r="Q102" i="9" s="1"/>
  <c r="O60" i="9"/>
  <c r="Q60" i="9" s="1"/>
  <c r="O271" i="9"/>
  <c r="Q271" i="9" s="1"/>
  <c r="O100" i="9"/>
  <c r="Q100" i="9" s="1"/>
  <c r="O70" i="9"/>
  <c r="Q70" i="9" s="1"/>
  <c r="O308" i="9"/>
  <c r="Q308" i="9" s="1"/>
  <c r="O246" i="9"/>
  <c r="Q246" i="9" s="1"/>
  <c r="O36" i="9"/>
  <c r="Q36" i="9" s="1"/>
  <c r="O209" i="9"/>
  <c r="Q209" i="9" s="1"/>
  <c r="O299" i="9"/>
  <c r="Q299" i="9" s="1"/>
  <c r="O12" i="9"/>
  <c r="Q12" i="9" s="1"/>
  <c r="O35" i="9"/>
  <c r="Q35" i="9" s="1"/>
  <c r="O222" i="9"/>
  <c r="Q222" i="9" s="1"/>
  <c r="O64" i="9"/>
  <c r="Q64" i="9" s="1"/>
  <c r="O145" i="9"/>
  <c r="Q145" i="9" s="1"/>
  <c r="O126" i="9"/>
  <c r="Q126" i="9" s="1"/>
  <c r="O224" i="9"/>
  <c r="Q224" i="9" s="1"/>
  <c r="O191" i="9"/>
  <c r="Q191" i="9" s="1"/>
  <c r="O15" i="9"/>
  <c r="Q15" i="9" s="1"/>
  <c r="O61" i="9"/>
  <c r="Q61" i="9" s="1"/>
  <c r="O239" i="9"/>
  <c r="Q239" i="9" s="1"/>
  <c r="O208" i="9"/>
  <c r="Q208" i="9" s="1"/>
  <c r="O169" i="9"/>
  <c r="Q169" i="9" s="1"/>
  <c r="O109" i="9"/>
  <c r="Q109" i="9" s="1"/>
  <c r="O282" i="9"/>
  <c r="Q282" i="9" s="1"/>
  <c r="O225" i="9"/>
  <c r="Q225" i="9" s="1"/>
  <c r="O306" i="9"/>
  <c r="Q306" i="9" s="1"/>
  <c r="E26" i="30" l="1"/>
  <c r="E36" i="30" s="1"/>
  <c r="O332" i="9"/>
  <c r="Q10" i="9"/>
  <c r="Q332" i="9" l="1"/>
  <c r="E287" i="9"/>
  <c r="H287" i="9" s="1"/>
  <c r="W287" i="10" s="1"/>
  <c r="E304" i="9"/>
  <c r="H304" i="9" s="1"/>
  <c r="W304" i="10" s="1"/>
  <c r="E108" i="9"/>
  <c r="H108" i="9" s="1"/>
  <c r="W108" i="10" s="1"/>
  <c r="E246" i="9"/>
  <c r="H246" i="9" s="1"/>
  <c r="W246" i="10" s="1"/>
  <c r="E275" i="9"/>
  <c r="H275" i="9" s="1"/>
  <c r="W275" i="10" s="1"/>
  <c r="E87" i="9"/>
  <c r="H87" i="9" s="1"/>
  <c r="W87" i="10" s="1"/>
  <c r="E219" i="9"/>
  <c r="H219" i="9" s="1"/>
  <c r="W219" i="10" s="1"/>
  <c r="E63" i="9"/>
  <c r="H63" i="9" s="1"/>
  <c r="W63" i="10" s="1"/>
  <c r="E225" i="9"/>
  <c r="H225" i="9" s="1"/>
  <c r="W225" i="10" s="1"/>
  <c r="E137" i="9"/>
  <c r="H137" i="9" s="1"/>
  <c r="W137" i="10" s="1"/>
  <c r="E271" i="9"/>
  <c r="H271" i="9" s="1"/>
  <c r="W271" i="10" s="1"/>
  <c r="E239" i="9"/>
  <c r="H239" i="9" s="1"/>
  <c r="W239" i="10" s="1"/>
  <c r="E258" i="9"/>
  <c r="H258" i="9" s="1"/>
  <c r="W258" i="10" s="1"/>
  <c r="E98" i="9"/>
  <c r="H98" i="9" s="1"/>
  <c r="W98" i="10" s="1"/>
  <c r="E53" i="9"/>
  <c r="E144" i="9"/>
  <c r="E163" i="9"/>
  <c r="E231" i="9"/>
  <c r="H231" i="9" s="1"/>
  <c r="W231" i="10" s="1"/>
  <c r="E166" i="9"/>
  <c r="E35" i="9"/>
  <c r="E204" i="9"/>
  <c r="H204" i="9" s="1"/>
  <c r="W204" i="10" s="1"/>
  <c r="E283" i="9"/>
  <c r="E126" i="9"/>
  <c r="E253" i="9"/>
  <c r="E313" i="9"/>
  <c r="H313" i="9" s="1"/>
  <c r="W313" i="10" s="1"/>
  <c r="E89" i="9"/>
  <c r="E308" i="9"/>
  <c r="E77" i="9"/>
  <c r="E125" i="9"/>
  <c r="H125" i="9" s="1"/>
  <c r="W125" i="10" s="1"/>
  <c r="E110" i="9"/>
  <c r="E116" i="9"/>
  <c r="E133" i="9"/>
  <c r="E94" i="9"/>
  <c r="H94" i="9" s="1"/>
  <c r="W94" i="10" s="1"/>
  <c r="E270" i="9"/>
  <c r="E174" i="9"/>
  <c r="E193" i="9"/>
  <c r="E167" i="9"/>
  <c r="E158" i="9"/>
  <c r="E189" i="9"/>
  <c r="E17" i="9"/>
  <c r="E268" i="9"/>
  <c r="E132" i="9"/>
  <c r="H132" i="9" s="1"/>
  <c r="W132" i="10" s="1"/>
  <c r="E264" i="9"/>
  <c r="E152" i="9"/>
  <c r="E300" i="9"/>
  <c r="E187" i="9"/>
  <c r="E227" i="9"/>
  <c r="E39" i="9"/>
  <c r="E72" i="9"/>
  <c r="E194" i="9"/>
  <c r="H194" i="9" s="1"/>
  <c r="W194" i="10" s="1"/>
  <c r="E40" i="9"/>
  <c r="E135" i="9"/>
  <c r="E111" i="9"/>
  <c r="H111" i="9" s="1"/>
  <c r="W111" i="10" s="1"/>
  <c r="E148" i="9"/>
  <c r="E298" i="9"/>
  <c r="E267" i="9"/>
  <c r="E21" i="9"/>
  <c r="E60" i="9"/>
  <c r="H60" i="9" s="1"/>
  <c r="W60" i="10" s="1"/>
  <c r="E230" i="9"/>
  <c r="E241" i="9"/>
  <c r="E202" i="9"/>
  <c r="E178" i="9"/>
  <c r="E284" i="9"/>
  <c r="E42" i="9"/>
  <c r="E65" i="9"/>
  <c r="E129" i="9"/>
  <c r="H129" i="9" s="1"/>
  <c r="W129" i="10" s="1"/>
  <c r="E302" i="9"/>
  <c r="E281" i="9"/>
  <c r="E91" i="9"/>
  <c r="E24" i="9"/>
  <c r="E312" i="9"/>
  <c r="E263" i="9"/>
  <c r="E48" i="9"/>
  <c r="E262" i="9"/>
  <c r="H262" i="9" s="1"/>
  <c r="W262" i="10" s="1"/>
  <c r="E214" i="9"/>
  <c r="E140" i="9"/>
  <c r="E80" i="9"/>
  <c r="E171" i="9"/>
  <c r="E200" i="9"/>
  <c r="E76" i="9"/>
  <c r="E56" i="9"/>
  <c r="E51" i="9"/>
  <c r="H51" i="9" s="1"/>
  <c r="W51" i="10" s="1"/>
  <c r="E71" i="9"/>
  <c r="E224" i="9"/>
  <c r="E130" i="9"/>
  <c r="E31" i="9"/>
  <c r="E25" i="9"/>
  <c r="E164" i="9"/>
  <c r="E88" i="9"/>
  <c r="E106" i="9"/>
  <c r="H106" i="9" s="1"/>
  <c r="W106" i="10" s="1"/>
  <c r="E92" i="9"/>
  <c r="E14" i="9"/>
  <c r="E234" i="9"/>
  <c r="E81" i="9"/>
  <c r="E102" i="9"/>
  <c r="E255" i="9"/>
  <c r="E240" i="9"/>
  <c r="E115" i="9"/>
  <c r="H115" i="9" s="1"/>
  <c r="W115" i="10" s="1"/>
  <c r="E306" i="9"/>
  <c r="E314" i="9"/>
  <c r="E33" i="9"/>
  <c r="E122" i="9"/>
  <c r="E82" i="9"/>
  <c r="E161" i="9"/>
  <c r="E13" i="9"/>
  <c r="E145" i="9"/>
  <c r="H145" i="9" s="1"/>
  <c r="W145" i="10" s="1"/>
  <c r="E252" i="9"/>
  <c r="E198" i="9"/>
  <c r="E85" i="9"/>
  <c r="E276" i="9"/>
  <c r="E221" i="9"/>
  <c r="E295" i="9"/>
  <c r="E84" i="9"/>
  <c r="E83" i="9"/>
  <c r="H83" i="9" s="1"/>
  <c r="W83" i="10" s="1"/>
  <c r="E29" i="9"/>
  <c r="E212" i="9"/>
  <c r="E247" i="9"/>
  <c r="E237" i="9"/>
  <c r="H237" i="9" s="1"/>
  <c r="W237" i="10" s="1"/>
  <c r="E58" i="9"/>
  <c r="E288" i="9"/>
  <c r="E131" i="9"/>
  <c r="E297" i="9"/>
  <c r="H297" i="9" s="1"/>
  <c r="W297" i="10" s="1"/>
  <c r="E301" i="9"/>
  <c r="E245" i="9"/>
  <c r="E101" i="9"/>
  <c r="E273" i="9"/>
  <c r="H273" i="9" s="1"/>
  <c r="W273" i="10" s="1"/>
  <c r="E134" i="9"/>
  <c r="E265" i="9"/>
  <c r="E141" i="9"/>
  <c r="E259" i="9"/>
  <c r="H259" i="9" s="1"/>
  <c r="W259" i="10" s="1"/>
  <c r="E34" i="9"/>
  <c r="E223" i="9"/>
  <c r="E20" i="9"/>
  <c r="E156" i="9"/>
  <c r="H156" i="9" s="1"/>
  <c r="W156" i="10" s="1"/>
  <c r="E49" i="9"/>
  <c r="E282" i="9"/>
  <c r="E195" i="9"/>
  <c r="E61" i="9"/>
  <c r="H61" i="9" s="1"/>
  <c r="W61" i="10" s="1"/>
  <c r="E97" i="9"/>
  <c r="E170" i="9"/>
  <c r="E22" i="9"/>
  <c r="E175" i="9"/>
  <c r="H175" i="9" s="1"/>
  <c r="W175" i="10" s="1"/>
  <c r="E184" i="9"/>
  <c r="E236" i="9"/>
  <c r="E70" i="9"/>
  <c r="E99" i="9"/>
  <c r="H99" i="9" s="1"/>
  <c r="W99" i="10" s="1"/>
  <c r="E285" i="9"/>
  <c r="E244" i="9"/>
  <c r="E222" i="9"/>
  <c r="E208" i="9"/>
  <c r="E155" i="9"/>
  <c r="E32" i="9"/>
  <c r="E11" i="9"/>
  <c r="H11" i="9" s="1"/>
  <c r="W11" i="10" s="1"/>
  <c r="E303" i="9"/>
  <c r="H303" i="9" s="1"/>
  <c r="W303" i="10" s="1"/>
  <c r="E249" i="9"/>
  <c r="E199" i="9"/>
  <c r="E47" i="9"/>
  <c r="E128" i="9"/>
  <c r="E36" i="9"/>
  <c r="E213" i="9"/>
  <c r="E235" i="9"/>
  <c r="E277" i="9"/>
  <c r="H277" i="9" s="1"/>
  <c r="W277" i="10" s="1"/>
  <c r="E52" i="9"/>
  <c r="E96" i="9"/>
  <c r="H96" i="9" s="1"/>
  <c r="W96" i="10" s="1"/>
  <c r="E211" i="9"/>
  <c r="E188" i="9"/>
  <c r="E18" i="9"/>
  <c r="E290" i="9"/>
  <c r="E59" i="9"/>
  <c r="E41" i="9"/>
  <c r="E209" i="9"/>
  <c r="H209" i="9" s="1"/>
  <c r="W209" i="10" s="1"/>
  <c r="E169" i="9"/>
  <c r="E160" i="9"/>
  <c r="E153" i="9"/>
  <c r="E159" i="9"/>
  <c r="E124" i="9"/>
  <c r="E226" i="9"/>
  <c r="E86" i="9"/>
  <c r="E146" i="9"/>
  <c r="E233" i="9"/>
  <c r="E50" i="9"/>
  <c r="E203" i="9"/>
  <c r="E143" i="9"/>
  <c r="E181" i="9"/>
  <c r="E206" i="9"/>
  <c r="E149" i="9"/>
  <c r="E104" i="9"/>
  <c r="E68" i="9"/>
  <c r="H68" i="9" s="1"/>
  <c r="W68" i="10" s="1"/>
  <c r="E118" i="9"/>
  <c r="E191" i="9"/>
  <c r="E79" i="9"/>
  <c r="E180" i="9"/>
  <c r="H180" i="9" s="1"/>
  <c r="W180" i="10" s="1"/>
  <c r="E310" i="9"/>
  <c r="E289" i="9"/>
  <c r="H289" i="9" s="1"/>
  <c r="W289" i="10" s="1"/>
  <c r="E44" i="9"/>
  <c r="E228" i="9"/>
  <c r="H228" i="9" s="1"/>
  <c r="W228" i="10" s="1"/>
  <c r="E216" i="9"/>
  <c r="H316" i="9"/>
  <c r="W316" i="10" s="1"/>
  <c r="E95" i="9"/>
  <c r="E248" i="9"/>
  <c r="E305" i="9"/>
  <c r="E218" i="9"/>
  <c r="E139" i="9"/>
  <c r="E309" i="9"/>
  <c r="H309" i="9" s="1"/>
  <c r="W309" i="10" s="1"/>
  <c r="E26" i="9"/>
  <c r="E12" i="9"/>
  <c r="H12" i="9" s="1"/>
  <c r="W12" i="10" s="1"/>
  <c r="E254" i="9"/>
  <c r="E291" i="9"/>
  <c r="E173" i="9"/>
  <c r="E64" i="9"/>
  <c r="H64" i="9" s="1"/>
  <c r="W64" i="10" s="1"/>
  <c r="E183" i="9"/>
  <c r="E121" i="9"/>
  <c r="E74" i="9"/>
  <c r="E109" i="9"/>
  <c r="E147" i="9"/>
  <c r="E272" i="9"/>
  <c r="E311" i="9"/>
  <c r="E27" i="9"/>
  <c r="E229" i="9"/>
  <c r="H229" i="9" s="1"/>
  <c r="W229" i="10" s="1"/>
  <c r="E67" i="9"/>
  <c r="E119" i="9"/>
  <c r="E15" i="9"/>
  <c r="E260" i="9"/>
  <c r="H260" i="9" s="1"/>
  <c r="W260" i="10" s="1"/>
  <c r="E151" i="9"/>
  <c r="E217" i="9"/>
  <c r="H217" i="9" s="1"/>
  <c r="W217" i="10" s="1"/>
  <c r="E45" i="9"/>
  <c r="E261" i="9"/>
  <c r="H261" i="9" s="1"/>
  <c r="W261" i="10" s="1"/>
  <c r="E23" i="9"/>
  <c r="E296" i="9"/>
  <c r="E286" i="9"/>
  <c r="E292" i="9"/>
  <c r="E55" i="9"/>
  <c r="E185" i="9"/>
  <c r="E162" i="9"/>
  <c r="E242" i="9"/>
  <c r="H242" i="9" s="1"/>
  <c r="W242" i="10" s="1"/>
  <c r="E182" i="9"/>
  <c r="E172" i="9"/>
  <c r="E73" i="9"/>
  <c r="E62" i="9"/>
  <c r="H62" i="9" s="1"/>
  <c r="W62" i="10" s="1"/>
  <c r="E186" i="9"/>
  <c r="E220" i="9"/>
  <c r="H220" i="9" s="1"/>
  <c r="W220" i="10" s="1"/>
  <c r="E243" i="9"/>
  <c r="E54" i="9"/>
  <c r="H54" i="9" s="1"/>
  <c r="W54" i="10" s="1"/>
  <c r="E43" i="9"/>
  <c r="E294" i="9"/>
  <c r="H294" i="9" s="1"/>
  <c r="W294" i="10" s="1"/>
  <c r="E179" i="9"/>
  <c r="E154" i="9"/>
  <c r="E37" i="9"/>
  <c r="E142" i="9"/>
  <c r="E123" i="9"/>
  <c r="E46" i="9"/>
  <c r="H46" i="9" s="1"/>
  <c r="W46" i="10" s="1"/>
  <c r="E210" i="9"/>
  <c r="E278" i="9"/>
  <c r="H278" i="9" s="1"/>
  <c r="W278" i="10" s="1"/>
  <c r="E257" i="9"/>
  <c r="E16" i="9"/>
  <c r="H16" i="9" s="1"/>
  <c r="W16" i="10" s="1"/>
  <c r="E136" i="9"/>
  <c r="E279" i="9"/>
  <c r="H279" i="9" s="1"/>
  <c r="W279" i="10" s="1"/>
  <c r="E103" i="9"/>
  <c r="E93" i="9"/>
  <c r="H93" i="9" s="1"/>
  <c r="W93" i="10" s="1"/>
  <c r="E57" i="9"/>
  <c r="H57" i="9" s="1"/>
  <c r="W57" i="10" s="1"/>
  <c r="E75" i="9"/>
  <c r="E90" i="9"/>
  <c r="E69" i="9"/>
  <c r="H69" i="9" s="1"/>
  <c r="W69" i="10" s="1"/>
  <c r="E78" i="9"/>
  <c r="H78" i="9" s="1"/>
  <c r="W78" i="10" s="1"/>
  <c r="E66" i="9"/>
  <c r="E201" i="9"/>
  <c r="H201" i="9" s="1"/>
  <c r="W201" i="10" s="1"/>
  <c r="E299" i="9"/>
  <c r="H299" i="9" s="1"/>
  <c r="W299" i="10" s="1"/>
  <c r="E30" i="9"/>
  <c r="E100" i="9"/>
  <c r="H100" i="9" s="1"/>
  <c r="W100" i="10" s="1"/>
  <c r="E250" i="9"/>
  <c r="E192" i="9"/>
  <c r="E274" i="9"/>
  <c r="E280" i="9"/>
  <c r="E138" i="9"/>
  <c r="H138" i="9" s="1"/>
  <c r="W138" i="10" s="1"/>
  <c r="E120" i="9"/>
  <c r="H120" i="9" s="1"/>
  <c r="W120" i="10" s="1"/>
  <c r="E117" i="9"/>
  <c r="H117" i="9" s="1"/>
  <c r="W117" i="10" s="1"/>
  <c r="E190" i="9"/>
  <c r="E150" i="9"/>
  <c r="E28" i="9"/>
  <c r="E215" i="9"/>
  <c r="E269" i="9"/>
  <c r="H269" i="9" s="1"/>
  <c r="W269" i="10" s="1"/>
  <c r="E19" i="9"/>
  <c r="H19" i="9" s="1"/>
  <c r="W19" i="10" s="1"/>
  <c r="E113" i="9"/>
  <c r="H113" i="9" s="1"/>
  <c r="W113" i="10" s="1"/>
  <c r="E293" i="9"/>
  <c r="E205" i="9"/>
  <c r="H205" i="9" s="1"/>
  <c r="W205" i="10" s="1"/>
  <c r="E197" i="9"/>
  <c r="H197" i="9" s="1"/>
  <c r="W197" i="10" s="1"/>
  <c r="E165" i="9"/>
  <c r="E232" i="9"/>
  <c r="H232" i="9" s="1"/>
  <c r="W232" i="10" s="1"/>
  <c r="E207" i="9"/>
  <c r="H207" i="9" s="1"/>
  <c r="W207" i="10" s="1"/>
  <c r="E176" i="9"/>
  <c r="H176" i="9" s="1"/>
  <c r="W176" i="10" s="1"/>
  <c r="E107" i="9"/>
  <c r="H107" i="9" s="1"/>
  <c r="W107" i="10" s="1"/>
  <c r="E177" i="9"/>
  <c r="H177" i="9" s="1"/>
  <c r="W177" i="10" s="1"/>
  <c r="E256" i="9"/>
  <c r="E105" i="9"/>
  <c r="E238" i="9"/>
  <c r="E168" i="9"/>
  <c r="H168" i="9" s="1"/>
  <c r="W168" i="10" s="1"/>
  <c r="E38" i="9"/>
  <c r="H38" i="9" s="1"/>
  <c r="W38" i="10" s="1"/>
  <c r="E127" i="9"/>
  <c r="H127" i="9" s="1"/>
  <c r="W127" i="10" s="1"/>
  <c r="E114" i="9"/>
  <c r="H114" i="9" s="1"/>
  <c r="W114" i="10" s="1"/>
  <c r="E157" i="9"/>
  <c r="H157" i="9" s="1"/>
  <c r="W157" i="10" s="1"/>
  <c r="E72" i="30" l="1"/>
  <c r="E82" i="30" s="1"/>
  <c r="H283" i="9"/>
  <c r="W283" i="10" s="1"/>
  <c r="H280" i="9"/>
  <c r="W280" i="10" s="1"/>
  <c r="H142" i="9"/>
  <c r="H172" i="9"/>
  <c r="W172" i="10" s="1"/>
  <c r="H74" i="9"/>
  <c r="W74" i="10" s="1"/>
  <c r="H305" i="9"/>
  <c r="W305" i="10" s="1"/>
  <c r="H118" i="9"/>
  <c r="W118" i="10" s="1"/>
  <c r="H226" i="9"/>
  <c r="W226" i="10" s="1"/>
  <c r="H211" i="9"/>
  <c r="W211" i="10" s="1"/>
  <c r="H22" i="9"/>
  <c r="W22" i="10" s="1"/>
  <c r="H141" i="9"/>
  <c r="W141" i="10" s="1"/>
  <c r="H247" i="9"/>
  <c r="W247" i="10" s="1"/>
  <c r="H13" i="9"/>
  <c r="W13" i="10" s="1"/>
  <c r="H234" i="9"/>
  <c r="W234" i="10" s="1"/>
  <c r="H56" i="9"/>
  <c r="W56" i="10" s="1"/>
  <c r="H91" i="9"/>
  <c r="W91" i="10" s="1"/>
  <c r="H21" i="9"/>
  <c r="W21" i="10" s="1"/>
  <c r="H300" i="9"/>
  <c r="W300" i="10" s="1"/>
  <c r="H73" i="9"/>
  <c r="W73" i="10" s="1"/>
  <c r="H81" i="9"/>
  <c r="W81" i="10" s="1"/>
  <c r="H24" i="9"/>
  <c r="W24" i="10" s="1"/>
  <c r="H75" i="9"/>
  <c r="W75" i="10" s="1"/>
  <c r="H293" i="9"/>
  <c r="W293" i="10" s="1"/>
  <c r="H274" i="9"/>
  <c r="W274" i="10" s="1"/>
  <c r="H37" i="9"/>
  <c r="W37" i="10" s="1"/>
  <c r="H182" i="9"/>
  <c r="W182" i="10" s="1"/>
  <c r="H151" i="9"/>
  <c r="W151" i="10" s="1"/>
  <c r="H121" i="9"/>
  <c r="W121" i="10" s="1"/>
  <c r="H248" i="9"/>
  <c r="W248" i="10" s="1"/>
  <c r="H124" i="9"/>
  <c r="W124" i="10" s="1"/>
  <c r="H32" i="9"/>
  <c r="W32" i="10" s="1"/>
  <c r="H170" i="9"/>
  <c r="W170" i="10" s="1"/>
  <c r="H265" i="9"/>
  <c r="W265" i="10" s="1"/>
  <c r="H212" i="9"/>
  <c r="W212" i="10" s="1"/>
  <c r="H161" i="9"/>
  <c r="W161" i="10" s="1"/>
  <c r="H14" i="9"/>
  <c r="W14" i="10" s="1"/>
  <c r="H76" i="9"/>
  <c r="W76" i="10" s="1"/>
  <c r="H281" i="9"/>
  <c r="W281" i="10" s="1"/>
  <c r="H267" i="9"/>
  <c r="W267" i="10" s="1"/>
  <c r="H152" i="9"/>
  <c r="W152" i="10" s="1"/>
  <c r="H133" i="9"/>
  <c r="W133" i="10" s="1"/>
  <c r="H35" i="9"/>
  <c r="W35" i="10" s="1"/>
  <c r="H90" i="9"/>
  <c r="W90" i="10" s="1"/>
  <c r="H86" i="9"/>
  <c r="W86" i="10" s="1"/>
  <c r="H270" i="9"/>
  <c r="W270" i="10" s="1"/>
  <c r="H238" i="9"/>
  <c r="W238" i="10" s="1"/>
  <c r="H192" i="9"/>
  <c r="W192" i="10" s="1"/>
  <c r="H154" i="9"/>
  <c r="W154" i="10" s="1"/>
  <c r="H183" i="9"/>
  <c r="W183" i="10" s="1"/>
  <c r="H95" i="9"/>
  <c r="W95" i="10" s="1"/>
  <c r="H104" i="9"/>
  <c r="W104" i="10" s="1"/>
  <c r="H159" i="9"/>
  <c r="W159" i="10" s="1"/>
  <c r="H52" i="9"/>
  <c r="W52" i="10" s="1"/>
  <c r="H155" i="9"/>
  <c r="W155" i="10" s="1"/>
  <c r="H97" i="9"/>
  <c r="W97" i="10" s="1"/>
  <c r="H134" i="9"/>
  <c r="W134" i="10" s="1"/>
  <c r="H29" i="9"/>
  <c r="W29" i="10" s="1"/>
  <c r="H82" i="9"/>
  <c r="W82" i="10" s="1"/>
  <c r="H92" i="9"/>
  <c r="W92" i="10" s="1"/>
  <c r="H200" i="9"/>
  <c r="W200" i="10" s="1"/>
  <c r="H302" i="9"/>
  <c r="W302" i="10" s="1"/>
  <c r="H298" i="9"/>
  <c r="W298" i="10" s="1"/>
  <c r="H264" i="9"/>
  <c r="W264" i="10" s="1"/>
  <c r="H116" i="9"/>
  <c r="W116" i="10" s="1"/>
  <c r="H123" i="9"/>
  <c r="W123" i="10" s="1"/>
  <c r="H187" i="9"/>
  <c r="W187" i="10" s="1"/>
  <c r="H105" i="9"/>
  <c r="W105" i="10" s="1"/>
  <c r="H250" i="9"/>
  <c r="W250" i="10" s="1"/>
  <c r="H103" i="9"/>
  <c r="W103" i="10" s="1"/>
  <c r="H179" i="9"/>
  <c r="W179" i="10" s="1"/>
  <c r="H162" i="9"/>
  <c r="W162" i="10" s="1"/>
  <c r="H15" i="9"/>
  <c r="W15" i="10" s="1"/>
  <c r="H149" i="9"/>
  <c r="W149" i="10" s="1"/>
  <c r="H153" i="9"/>
  <c r="W153" i="10" s="1"/>
  <c r="H208" i="9"/>
  <c r="W208" i="10" s="1"/>
  <c r="H122" i="9"/>
  <c r="W122" i="10" s="1"/>
  <c r="H171" i="9"/>
  <c r="W171" i="10" s="1"/>
  <c r="H148" i="9"/>
  <c r="W148" i="10" s="1"/>
  <c r="H110" i="9"/>
  <c r="W110" i="10" s="1"/>
  <c r="H166" i="9"/>
  <c r="W166" i="10" s="1"/>
  <c r="H188" i="9"/>
  <c r="W188" i="10" s="1"/>
  <c r="H185" i="9"/>
  <c r="W185" i="10" s="1"/>
  <c r="H119" i="9"/>
  <c r="W119" i="10" s="1"/>
  <c r="H173" i="9"/>
  <c r="W173" i="10" s="1"/>
  <c r="H216" i="9"/>
  <c r="W216" i="10" s="1"/>
  <c r="H206" i="9"/>
  <c r="W206" i="10" s="1"/>
  <c r="H160" i="9"/>
  <c r="W160" i="10" s="1"/>
  <c r="H235" i="9"/>
  <c r="W235" i="10" s="1"/>
  <c r="H222" i="9"/>
  <c r="W222" i="10" s="1"/>
  <c r="H195" i="9"/>
  <c r="W195" i="10" s="1"/>
  <c r="H101" i="9"/>
  <c r="W101" i="10" s="1"/>
  <c r="H84" i="9"/>
  <c r="W84" i="10" s="1"/>
  <c r="H33" i="9"/>
  <c r="W33" i="10" s="1"/>
  <c r="H88" i="9"/>
  <c r="W88" i="10" s="1"/>
  <c r="H80" i="9"/>
  <c r="W80" i="10" s="1"/>
  <c r="H65" i="9"/>
  <c r="W65" i="10" s="1"/>
  <c r="H268" i="9"/>
  <c r="W268" i="10" s="1"/>
  <c r="H191" i="9"/>
  <c r="W191" i="10" s="1"/>
  <c r="H215" i="9"/>
  <c r="W215" i="10" s="1"/>
  <c r="H30" i="9"/>
  <c r="W30" i="10" s="1"/>
  <c r="H136" i="9"/>
  <c r="W136" i="10" s="1"/>
  <c r="H43" i="9"/>
  <c r="W43" i="10" s="1"/>
  <c r="H55" i="9"/>
  <c r="W55" i="10" s="1"/>
  <c r="H67" i="9"/>
  <c r="W67" i="10" s="1"/>
  <c r="H291" i="9"/>
  <c r="W291" i="10" s="1"/>
  <c r="H181" i="9"/>
  <c r="W181" i="10" s="1"/>
  <c r="H169" i="9"/>
  <c r="W169" i="10" s="1"/>
  <c r="H213" i="9"/>
  <c r="W213" i="10" s="1"/>
  <c r="H244" i="9"/>
  <c r="W244" i="10" s="1"/>
  <c r="H282" i="9"/>
  <c r="W282" i="10" s="1"/>
  <c r="H245" i="9"/>
  <c r="W245" i="10" s="1"/>
  <c r="H295" i="9"/>
  <c r="W295" i="10" s="1"/>
  <c r="H314" i="9"/>
  <c r="W314" i="10" s="1"/>
  <c r="H164" i="9"/>
  <c r="W164" i="10" s="1"/>
  <c r="H140" i="9"/>
  <c r="W140" i="10" s="1"/>
  <c r="H42" i="9"/>
  <c r="W42" i="10" s="1"/>
  <c r="H135" i="9"/>
  <c r="W135" i="10" s="1"/>
  <c r="H17" i="9"/>
  <c r="W17" i="10" s="1"/>
  <c r="H77" i="9"/>
  <c r="W77" i="10" s="1"/>
  <c r="H163" i="9"/>
  <c r="W163" i="10" s="1"/>
  <c r="H218" i="9"/>
  <c r="W218" i="10" s="1"/>
  <c r="H292" i="9"/>
  <c r="W292" i="10" s="1"/>
  <c r="H254" i="9"/>
  <c r="W254" i="10" s="1"/>
  <c r="H44" i="9"/>
  <c r="W44" i="10" s="1"/>
  <c r="H143" i="9"/>
  <c r="W143" i="10" s="1"/>
  <c r="H36" i="9"/>
  <c r="W36" i="10" s="1"/>
  <c r="H285" i="9"/>
  <c r="W285" i="10" s="1"/>
  <c r="H49" i="9"/>
  <c r="W49" i="10" s="1"/>
  <c r="H301" i="9"/>
  <c r="W301" i="10" s="1"/>
  <c r="H221" i="9"/>
  <c r="W221" i="10" s="1"/>
  <c r="H306" i="9"/>
  <c r="W306" i="10" s="1"/>
  <c r="H25" i="9"/>
  <c r="W25" i="10" s="1"/>
  <c r="H214" i="9"/>
  <c r="W214" i="10" s="1"/>
  <c r="H284" i="9"/>
  <c r="W284" i="10" s="1"/>
  <c r="H40" i="9"/>
  <c r="W40" i="10" s="1"/>
  <c r="H189" i="9"/>
  <c r="W189" i="10" s="1"/>
  <c r="H308" i="9"/>
  <c r="W308" i="10" s="1"/>
  <c r="H144" i="9"/>
  <c r="W144" i="10" s="1"/>
  <c r="H256" i="9"/>
  <c r="W256" i="10" s="1"/>
  <c r="H28" i="9"/>
  <c r="W28" i="10" s="1"/>
  <c r="H150" i="9"/>
  <c r="W150" i="10" s="1"/>
  <c r="H257" i="9"/>
  <c r="W257" i="10" s="1"/>
  <c r="H243" i="9"/>
  <c r="W243" i="10" s="1"/>
  <c r="H286" i="9"/>
  <c r="W286" i="10" s="1"/>
  <c r="H27" i="9"/>
  <c r="W27" i="10" s="1"/>
  <c r="H203" i="9"/>
  <c r="W203" i="10" s="1"/>
  <c r="H41" i="9"/>
  <c r="W41" i="10" s="1"/>
  <c r="H128" i="9"/>
  <c r="W128" i="10" s="1"/>
  <c r="H276" i="9"/>
  <c r="W276" i="10" s="1"/>
  <c r="H31" i="9"/>
  <c r="W31" i="10" s="1"/>
  <c r="H178" i="9"/>
  <c r="W178" i="10" s="1"/>
  <c r="H158" i="9"/>
  <c r="W158" i="10" s="1"/>
  <c r="H89" i="9"/>
  <c r="W89" i="10" s="1"/>
  <c r="H53" i="9"/>
  <c r="W53" i="10" s="1"/>
  <c r="H190" i="9"/>
  <c r="W190" i="10" s="1"/>
  <c r="H66" i="9"/>
  <c r="W66" i="10" s="1"/>
  <c r="H296" i="9"/>
  <c r="W296" i="10" s="1"/>
  <c r="H311" i="9"/>
  <c r="W311" i="10" s="1"/>
  <c r="H26" i="9"/>
  <c r="W26" i="10" s="1"/>
  <c r="H310" i="9"/>
  <c r="W310" i="10" s="1"/>
  <c r="H50" i="9"/>
  <c r="W50" i="10" s="1"/>
  <c r="H59" i="9"/>
  <c r="W59" i="10" s="1"/>
  <c r="H47" i="9"/>
  <c r="W47" i="10" s="1"/>
  <c r="H70" i="9"/>
  <c r="W70" i="10" s="1"/>
  <c r="H20" i="9"/>
  <c r="W20" i="10" s="1"/>
  <c r="H131" i="9"/>
  <c r="W131" i="10" s="1"/>
  <c r="H85" i="9"/>
  <c r="W85" i="10" s="1"/>
  <c r="H240" i="9"/>
  <c r="W240" i="10" s="1"/>
  <c r="H130" i="9"/>
  <c r="W130" i="10" s="1"/>
  <c r="H48" i="9"/>
  <c r="W48" i="10" s="1"/>
  <c r="H202" i="9"/>
  <c r="W202" i="10" s="1"/>
  <c r="H72" i="9"/>
  <c r="W72" i="10" s="1"/>
  <c r="H167" i="9"/>
  <c r="W167" i="10" s="1"/>
  <c r="H109" i="9"/>
  <c r="W109" i="10" s="1"/>
  <c r="H186" i="9"/>
  <c r="W186" i="10" s="1"/>
  <c r="H272" i="9"/>
  <c r="W272" i="10" s="1"/>
  <c r="H233" i="9"/>
  <c r="W233" i="10" s="1"/>
  <c r="H290" i="9"/>
  <c r="W290" i="10" s="1"/>
  <c r="H199" i="9"/>
  <c r="W199" i="10" s="1"/>
  <c r="H236" i="9"/>
  <c r="W236" i="10" s="1"/>
  <c r="H223" i="9"/>
  <c r="W223" i="10" s="1"/>
  <c r="H288" i="9"/>
  <c r="W288" i="10" s="1"/>
  <c r="H198" i="9"/>
  <c r="W198" i="10" s="1"/>
  <c r="H255" i="9"/>
  <c r="W255" i="10" s="1"/>
  <c r="H224" i="9"/>
  <c r="W224" i="10" s="1"/>
  <c r="H263" i="9"/>
  <c r="W263" i="10" s="1"/>
  <c r="H241" i="9"/>
  <c r="W241" i="10" s="1"/>
  <c r="H39" i="9"/>
  <c r="W39" i="10" s="1"/>
  <c r="H193" i="9"/>
  <c r="W193" i="10" s="1"/>
  <c r="H253" i="9"/>
  <c r="W253" i="10" s="1"/>
  <c r="H45" i="9"/>
  <c r="W45" i="10" s="1"/>
  <c r="H210" i="9"/>
  <c r="W210" i="10" s="1"/>
  <c r="H23" i="9"/>
  <c r="W23" i="10" s="1"/>
  <c r="H165" i="9"/>
  <c r="W165" i="10" s="1"/>
  <c r="H147" i="9"/>
  <c r="W147" i="10" s="1"/>
  <c r="H139" i="9"/>
  <c r="W139" i="10" s="1"/>
  <c r="H79" i="9"/>
  <c r="W79" i="10" s="1"/>
  <c r="H146" i="9"/>
  <c r="W146" i="10" s="1"/>
  <c r="H18" i="9"/>
  <c r="W18" i="10" s="1"/>
  <c r="H249" i="9"/>
  <c r="W249" i="10" s="1"/>
  <c r="H184" i="9"/>
  <c r="W184" i="10" s="1"/>
  <c r="H34" i="9"/>
  <c r="W34" i="10" s="1"/>
  <c r="H58" i="9"/>
  <c r="W58" i="10" s="1"/>
  <c r="H252" i="9"/>
  <c r="W252" i="10" s="1"/>
  <c r="H102" i="9"/>
  <c r="W102" i="10" s="1"/>
  <c r="H71" i="9"/>
  <c r="W71" i="10" s="1"/>
  <c r="H312" i="9"/>
  <c r="W312" i="10" s="1"/>
  <c r="X312" i="10" s="1"/>
  <c r="H230" i="9"/>
  <c r="W230" i="10" s="1"/>
  <c r="H227" i="9"/>
  <c r="W227" i="10" s="1"/>
  <c r="H174" i="9"/>
  <c r="W174" i="10" s="1"/>
  <c r="H126" i="9"/>
  <c r="W126" i="10" s="1"/>
  <c r="E332" i="9"/>
  <c r="W142" i="10" l="1"/>
  <c r="E22" i="30"/>
  <c r="E35" i="30" s="1"/>
  <c r="H326" i="9"/>
  <c r="Q314" i="10"/>
  <c r="Q292" i="10"/>
  <c r="X292" i="10" s="1"/>
  <c r="Q261" i="10"/>
  <c r="X261" i="10" s="1"/>
  <c r="Q210" i="10"/>
  <c r="X210" i="10" s="1"/>
  <c r="Q90" i="10"/>
  <c r="X90" i="10" s="1"/>
  <c r="Q167" i="10"/>
  <c r="X167" i="10" s="1"/>
  <c r="Q150" i="10"/>
  <c r="X150" i="10" s="1"/>
  <c r="Q77" i="10"/>
  <c r="X77" i="10" s="1"/>
  <c r="Q141" i="10"/>
  <c r="X141" i="10" s="1"/>
  <c r="Q177" i="10"/>
  <c r="X177" i="10" s="1"/>
  <c r="Q193" i="10"/>
  <c r="X193" i="10" s="1"/>
  <c r="Q217" i="10"/>
  <c r="X217" i="10" s="1"/>
  <c r="Q115" i="10"/>
  <c r="X115" i="10" s="1"/>
  <c r="Q65" i="10"/>
  <c r="X65" i="10" s="1"/>
  <c r="Q273" i="10"/>
  <c r="X273" i="10" s="1"/>
  <c r="Q119" i="10"/>
  <c r="X119" i="10" s="1"/>
  <c r="Q280" i="10"/>
  <c r="X280" i="10" s="1"/>
  <c r="Q51" i="10"/>
  <c r="X51" i="10" s="1"/>
  <c r="Q98" i="10"/>
  <c r="X98" i="10" s="1"/>
  <c r="Q47" i="10"/>
  <c r="X47" i="10" s="1"/>
  <c r="Q35" i="10"/>
  <c r="X35" i="10" s="1"/>
  <c r="Q69" i="10"/>
  <c r="X69" i="10" s="1"/>
  <c r="Q145" i="10"/>
  <c r="X145" i="10" s="1"/>
  <c r="Q302" i="10"/>
  <c r="X302" i="10" s="1"/>
  <c r="Q192" i="10"/>
  <c r="X192" i="10" s="1"/>
  <c r="Q191" i="10"/>
  <c r="X191" i="10" s="1"/>
  <c r="Q185" i="10"/>
  <c r="X185" i="10" s="1"/>
  <c r="Q305" i="10"/>
  <c r="X305" i="10" s="1"/>
  <c r="Q252" i="10"/>
  <c r="X252" i="10" s="1"/>
  <c r="Q310" i="10"/>
  <c r="X310" i="10" s="1"/>
  <c r="Q89" i="10"/>
  <c r="X89" i="10" s="1"/>
  <c r="Q118" i="10"/>
  <c r="X118" i="10" s="1"/>
  <c r="Q78" i="10"/>
  <c r="X78" i="10" s="1"/>
  <c r="Q204" i="10"/>
  <c r="X204" i="10" s="1"/>
  <c r="Q101" i="10"/>
  <c r="X101" i="10" s="1"/>
  <c r="Q42" i="10"/>
  <c r="X42" i="10" s="1"/>
  <c r="Q72" i="10"/>
  <c r="X72" i="10" s="1"/>
  <c r="Q18" i="10"/>
  <c r="X18" i="10" s="1"/>
  <c r="Q287" i="10"/>
  <c r="X287" i="10" s="1"/>
  <c r="Q281" i="10"/>
  <c r="X281" i="10" s="1"/>
  <c r="Q221" i="10"/>
  <c r="X221" i="10" s="1"/>
  <c r="Q154" i="10"/>
  <c r="X154" i="10" s="1"/>
  <c r="Q123" i="10"/>
  <c r="X123" i="10" s="1"/>
  <c r="Q25" i="10"/>
  <c r="X25" i="10" s="1"/>
  <c r="Q234" i="10"/>
  <c r="X234" i="10" s="1"/>
  <c r="Q254" i="10"/>
  <c r="X254" i="10" s="1"/>
  <c r="Q54" i="10"/>
  <c r="X54" i="10" s="1"/>
  <c r="Q229" i="10"/>
  <c r="X229" i="10" s="1"/>
  <c r="Q108" i="10"/>
  <c r="X108" i="10" s="1"/>
  <c r="Q182" i="10"/>
  <c r="X182" i="10" s="1"/>
  <c r="Q249" i="10"/>
  <c r="X249" i="10" s="1"/>
  <c r="Q228" i="10"/>
  <c r="X228" i="10" s="1"/>
  <c r="Q17" i="10"/>
  <c r="X17" i="10" s="1"/>
  <c r="Q304" i="10"/>
  <c r="X304" i="10" s="1"/>
  <c r="Q222" i="10"/>
  <c r="X222" i="10" s="1"/>
  <c r="Q224" i="10"/>
  <c r="X224" i="10" s="1"/>
  <c r="Q58" i="10"/>
  <c r="X58" i="10" s="1"/>
  <c r="Q124" i="10"/>
  <c r="X124" i="10" s="1"/>
  <c r="Q137" i="10"/>
  <c r="X137" i="10" s="1"/>
  <c r="Q21" i="10"/>
  <c r="X21" i="10" s="1"/>
  <c r="Q11" i="10"/>
  <c r="X11" i="10" s="1"/>
  <c r="Q201" i="10"/>
  <c r="X201" i="10" s="1"/>
  <c r="Q79" i="10"/>
  <c r="X79" i="10" s="1"/>
  <c r="Q187" i="10"/>
  <c r="X187" i="10" s="1"/>
  <c r="Q214" i="10"/>
  <c r="X214" i="10" s="1"/>
  <c r="Q146" i="10"/>
  <c r="X146" i="10" s="1"/>
  <c r="Q316" i="10"/>
  <c r="X316" i="10" s="1"/>
  <c r="Q129" i="10"/>
  <c r="X129" i="10" s="1"/>
  <c r="Q53" i="10"/>
  <c r="X53" i="10" s="1"/>
  <c r="Q215" i="10"/>
  <c r="X215" i="10" s="1"/>
  <c r="Q46" i="10"/>
  <c r="X46" i="10" s="1"/>
  <c r="Q168" i="10"/>
  <c r="X168" i="10" s="1"/>
  <c r="Q15" i="10"/>
  <c r="X15" i="10" s="1"/>
  <c r="Q142" i="10"/>
  <c r="X142" i="10" s="1"/>
  <c r="Q117" i="10"/>
  <c r="X117" i="10" s="1"/>
  <c r="Q13" i="10"/>
  <c r="X13" i="10" s="1"/>
  <c r="Q181" i="10"/>
  <c r="X181" i="10" s="1"/>
  <c r="Q239" i="10"/>
  <c r="X239" i="10" s="1"/>
  <c r="Q73" i="10"/>
  <c r="X73" i="10" s="1"/>
  <c r="Q134" i="10"/>
  <c r="X134" i="10" s="1"/>
  <c r="Q121" i="10"/>
  <c r="X121" i="10" s="1"/>
  <c r="Q231" i="10"/>
  <c r="X231" i="10" s="1"/>
  <c r="Q220" i="10"/>
  <c r="X220" i="10" s="1"/>
  <c r="Q155" i="10"/>
  <c r="X155" i="10" s="1"/>
  <c r="Q175" i="10"/>
  <c r="X175" i="10" s="1"/>
  <c r="Q99" i="10"/>
  <c r="X99" i="10" s="1"/>
  <c r="Q62" i="10"/>
  <c r="X62" i="10" s="1"/>
  <c r="Q37" i="10"/>
  <c r="X37" i="10" s="1"/>
  <c r="Q30" i="10"/>
  <c r="X30" i="10" s="1"/>
  <c r="Q152" i="10"/>
  <c r="X152" i="10" s="1"/>
  <c r="Q206" i="10"/>
  <c r="X206" i="10" s="1"/>
  <c r="C312" i="10"/>
  <c r="Q135" i="10"/>
  <c r="X135" i="10" s="1"/>
  <c r="Q285" i="10"/>
  <c r="X285" i="10" s="1"/>
  <c r="Q52" i="10"/>
  <c r="X52" i="10" s="1"/>
  <c r="Q113" i="10"/>
  <c r="X113" i="10" s="1"/>
  <c r="Q164" i="10"/>
  <c r="X164" i="10" s="1"/>
  <c r="Q205" i="10"/>
  <c r="X205" i="10" s="1"/>
  <c r="Q241" i="10"/>
  <c r="X241" i="10" s="1"/>
  <c r="Q81" i="10"/>
  <c r="X81" i="10" s="1"/>
  <c r="Q282" i="10"/>
  <c r="X282" i="10" s="1"/>
  <c r="Q267" i="10"/>
  <c r="X267" i="10" s="1"/>
  <c r="Q66" i="10"/>
  <c r="X66" i="10" s="1"/>
  <c r="Q265" i="10"/>
  <c r="X265" i="10" s="1"/>
  <c r="Q84" i="10"/>
  <c r="X84" i="10" s="1"/>
  <c r="Q240" i="10"/>
  <c r="X240" i="10" s="1"/>
  <c r="Q288" i="10"/>
  <c r="X288" i="10" s="1"/>
  <c r="Q274" i="10"/>
  <c r="X274" i="10" s="1"/>
  <c r="Q48" i="10"/>
  <c r="X48" i="10" s="1"/>
  <c r="Q74" i="10"/>
  <c r="X74" i="10" s="1"/>
  <c r="Q20" i="10"/>
  <c r="X20" i="10" s="1"/>
  <c r="Q211" i="10"/>
  <c r="X211" i="10" s="1"/>
  <c r="Q256" i="10"/>
  <c r="X256" i="10" s="1"/>
  <c r="Q170" i="10"/>
  <c r="X170" i="10" s="1"/>
  <c r="Q56" i="10"/>
  <c r="X56" i="10" s="1"/>
  <c r="Q311" i="10"/>
  <c r="X311" i="10" s="1"/>
  <c r="Q294" i="10"/>
  <c r="X294" i="10" s="1"/>
  <c r="Q44" i="10"/>
  <c r="X44" i="10" s="1"/>
  <c r="Q246" i="10"/>
  <c r="X246" i="10" s="1"/>
  <c r="Q159" i="10"/>
  <c r="X159" i="10" s="1"/>
  <c r="Q226" i="10"/>
  <c r="X226" i="10" s="1"/>
  <c r="Q148" i="10"/>
  <c r="X148" i="10" s="1"/>
  <c r="Q276" i="10"/>
  <c r="X276" i="10" s="1"/>
  <c r="Q245" i="10"/>
  <c r="X245" i="10" s="1"/>
  <c r="Q31" i="10"/>
  <c r="X31" i="10" s="1"/>
  <c r="Q36" i="10"/>
  <c r="X36" i="10" s="1"/>
  <c r="Q259" i="10"/>
  <c r="X259" i="10" s="1"/>
  <c r="Q298" i="10"/>
  <c r="X298" i="10" s="1"/>
  <c r="Q111" i="10"/>
  <c r="X111" i="10" s="1"/>
  <c r="E37" i="30" l="1"/>
  <c r="H332" i="9"/>
  <c r="O336" i="10"/>
  <c r="O337" i="10" s="1"/>
  <c r="X314" i="10"/>
  <c r="Q50" i="10"/>
  <c r="X50" i="10" s="1"/>
  <c r="Q40" i="10"/>
  <c r="Q186" i="10"/>
  <c r="Q213" i="10"/>
  <c r="Q174" i="10"/>
  <c r="Q230" i="10"/>
  <c r="Q179" i="10"/>
  <c r="Q138" i="10"/>
  <c r="Q176" i="10"/>
  <c r="Q103" i="10"/>
  <c r="Q197" i="10"/>
  <c r="Q104" i="10"/>
  <c r="X104" i="10" s="1"/>
  <c r="Q297" i="10"/>
  <c r="Q109" i="10"/>
  <c r="Q189" i="10"/>
  <c r="Q151" i="10"/>
  <c r="Q26" i="10"/>
  <c r="Q140" i="10"/>
  <c r="X140" i="10" s="1"/>
  <c r="Q75" i="10"/>
  <c r="Q236" i="10"/>
  <c r="Q290" i="10"/>
  <c r="Q153" i="10"/>
  <c r="X153" i="10" s="1"/>
  <c r="Q127" i="10"/>
  <c r="Q208" i="10"/>
  <c r="X208" i="10" s="1"/>
  <c r="Q86" i="10"/>
  <c r="X86" i="10" s="1"/>
  <c r="Q63" i="10"/>
  <c r="X63" i="10" s="1"/>
  <c r="Q85" i="10"/>
  <c r="X85" i="10" s="1"/>
  <c r="Q97" i="10"/>
  <c r="X97" i="10" s="1"/>
  <c r="Q258" i="10"/>
  <c r="Q28" i="10"/>
  <c r="X28" i="10" s="1"/>
  <c r="Q263" i="10"/>
  <c r="X263" i="10" s="1"/>
  <c r="Q120" i="10"/>
  <c r="Q269" i="10"/>
  <c r="Q242" i="10"/>
  <c r="Q157" i="10"/>
  <c r="Q306" i="10"/>
  <c r="X306" i="10" s="1"/>
  <c r="Q278" i="10"/>
  <c r="Q257" i="10"/>
  <c r="Q110" i="10"/>
  <c r="Q130" i="10"/>
  <c r="Q161" i="10"/>
  <c r="Q296" i="10"/>
  <c r="X296" i="10" s="1"/>
  <c r="Q100" i="10"/>
  <c r="Q172" i="10"/>
  <c r="Q272" i="10"/>
  <c r="Q61" i="10"/>
  <c r="Q260" i="10"/>
  <c r="Q131" i="10"/>
  <c r="Q166" i="10"/>
  <c r="X166" i="10" s="1"/>
  <c r="Q198" i="10"/>
  <c r="Q264" i="10"/>
  <c r="X264" i="10" s="1"/>
  <c r="Q303" i="10"/>
  <c r="X303" i="10" s="1"/>
  <c r="Q105" i="10"/>
  <c r="X105" i="10" s="1"/>
  <c r="Q284" i="10"/>
  <c r="X284" i="10" s="1"/>
  <c r="Q149" i="10"/>
  <c r="Q255" i="10"/>
  <c r="Q136" i="10"/>
  <c r="Q23" i="10"/>
  <c r="Q283" i="10"/>
  <c r="X283" i="10" s="1"/>
  <c r="Q270" i="10"/>
  <c r="Q12" i="10"/>
  <c r="X12" i="10" s="1"/>
  <c r="Q308" i="10"/>
  <c r="X308" i="10" s="1"/>
  <c r="Q93" i="10"/>
  <c r="X93" i="10" s="1"/>
  <c r="Q60" i="10"/>
  <c r="X60" i="10" s="1"/>
  <c r="Q88" i="10"/>
  <c r="X88" i="10" s="1"/>
  <c r="Q291" i="10"/>
  <c r="Q173" i="10"/>
  <c r="X173" i="10" s="1"/>
  <c r="Q94" i="10"/>
  <c r="X94" i="10" s="1"/>
  <c r="Q80" i="10"/>
  <c r="X80" i="10" s="1"/>
  <c r="Q169" i="10"/>
  <c r="X169" i="10" s="1"/>
  <c r="Q67" i="10"/>
  <c r="X67" i="10" s="1"/>
  <c r="Q70" i="10"/>
  <c r="Q114" i="10"/>
  <c r="X114" i="10" s="1"/>
  <c r="Q227" i="10"/>
  <c r="X227" i="10" s="1"/>
  <c r="Q163" i="10"/>
  <c r="Q116" i="10"/>
  <c r="X116" i="10" s="1"/>
  <c r="Q95" i="10"/>
  <c r="X95" i="10" s="1"/>
  <c r="Q19" i="10"/>
  <c r="X19" i="10" s="1"/>
  <c r="Q38" i="10"/>
  <c r="X38" i="10" s="1"/>
  <c r="Q295" i="10"/>
  <c r="Q132" i="10"/>
  <c r="Q68" i="10"/>
  <c r="Q22" i="10"/>
  <c r="Q82" i="10"/>
  <c r="Q128" i="10"/>
  <c r="Q212" i="10"/>
  <c r="Q225" i="10"/>
  <c r="Q253" i="10"/>
  <c r="Q235" i="10"/>
  <c r="Q139" i="10"/>
  <c r="Q289" i="10"/>
  <c r="Q147" i="10"/>
  <c r="Q237" i="10"/>
  <c r="Q250" i="10"/>
  <c r="Q158" i="10"/>
  <c r="Q29" i="10"/>
  <c r="Q144" i="10"/>
  <c r="Q286" i="10"/>
  <c r="Q183" i="10"/>
  <c r="X183" i="10" s="1"/>
  <c r="Q102" i="10"/>
  <c r="X102" i="10" s="1"/>
  <c r="Q307" i="10"/>
  <c r="Q300" i="10"/>
  <c r="Q275" i="10"/>
  <c r="Q156" i="10"/>
  <c r="Q33" i="10"/>
  <c r="Q271" i="10"/>
  <c r="Q32" i="10"/>
  <c r="Q178" i="10"/>
  <c r="Q165" i="10"/>
  <c r="X165" i="10" s="1"/>
  <c r="Q233" i="10"/>
  <c r="X233" i="10" s="1"/>
  <c r="Q96" i="10"/>
  <c r="X96" i="10" s="1"/>
  <c r="Q277" i="10"/>
  <c r="Q184" i="10"/>
  <c r="Q106" i="10"/>
  <c r="Q83" i="10"/>
  <c r="X83" i="10" s="1"/>
  <c r="Q279" i="10"/>
  <c r="X279" i="10" s="1"/>
  <c r="Q262" i="10"/>
  <c r="X262" i="10" s="1"/>
  <c r="Q243" i="10"/>
  <c r="Q202" i="10"/>
  <c r="Q180" i="10"/>
  <c r="Q309" i="10"/>
  <c r="X309" i="10" s="1"/>
  <c r="Q126" i="10"/>
  <c r="X126" i="10" s="1"/>
  <c r="Q301" i="10"/>
  <c r="X301" i="10" s="1"/>
  <c r="Q160" i="10"/>
  <c r="Q49" i="10"/>
  <c r="Q125" i="10"/>
  <c r="Q194" i="10"/>
  <c r="X194" i="10" s="1"/>
  <c r="Q238" i="10"/>
  <c r="X238" i="10" s="1"/>
  <c r="Q71" i="10"/>
  <c r="Q209" i="10"/>
  <c r="X209" i="10" s="1"/>
  <c r="Q299" i="10"/>
  <c r="Q293" i="10"/>
  <c r="X293" i="10" s="1"/>
  <c r="Q87" i="10"/>
  <c r="Q91" i="10"/>
  <c r="Q143" i="10"/>
  <c r="Q92" i="10"/>
  <c r="Q107" i="10"/>
  <c r="X107" i="10" s="1"/>
  <c r="Q199" i="10"/>
  <c r="X199" i="10" s="1"/>
  <c r="Q59" i="10"/>
  <c r="Q232" i="10"/>
  <c r="Q16" i="10"/>
  <c r="Q57" i="10"/>
  <c r="Q188" i="10"/>
  <c r="Q190" i="10"/>
  <c r="X190" i="10" s="1"/>
  <c r="Q247" i="10"/>
  <c r="Q218" i="10"/>
  <c r="Q162" i="10"/>
  <c r="Q268" i="10"/>
  <c r="Q223" i="10"/>
  <c r="X223" i="10" s="1"/>
  <c r="Q14" i="10"/>
  <c r="X14" i="10" s="1"/>
  <c r="Q248" i="10"/>
  <c r="Q24" i="10"/>
  <c r="X24" i="10" s="1"/>
  <c r="Q39" i="10"/>
  <c r="X39" i="10" s="1"/>
  <c r="Q219" i="10"/>
  <c r="Q207" i="10"/>
  <c r="Q76" i="10"/>
  <c r="X76" i="10" s="1"/>
  <c r="Q203" i="10"/>
  <c r="Q45" i="10"/>
  <c r="Q216" i="10"/>
  <c r="Q171" i="10"/>
  <c r="X171" i="10" s="1"/>
  <c r="Q122" i="10"/>
  <c r="X122" i="10" s="1"/>
  <c r="Q133" i="10"/>
  <c r="Q244" i="10"/>
  <c r="X244" i="10" s="1"/>
  <c r="Q34" i="10"/>
  <c r="X34" i="10" s="1"/>
  <c r="Q43" i="10"/>
  <c r="Q200" i="10"/>
  <c r="X200" i="10" s="1"/>
  <c r="Q64" i="10"/>
  <c r="Q27" i="10"/>
  <c r="Q313" i="10"/>
  <c r="X313" i="10" s="1"/>
  <c r="Q41" i="10"/>
  <c r="X41" i="10" s="1"/>
  <c r="Q55" i="10"/>
  <c r="Q195" i="10"/>
  <c r="X195" i="10" s="1"/>
  <c r="C56" i="10"/>
  <c r="C21" i="10"/>
  <c r="C285" i="10"/>
  <c r="C254" i="10"/>
  <c r="C20" i="10"/>
  <c r="C51" i="10"/>
  <c r="C245" i="10"/>
  <c r="C241" i="10"/>
  <c r="C13" i="10"/>
  <c r="C259" i="10"/>
  <c r="C224" i="10"/>
  <c r="C167" i="10"/>
  <c r="C66" i="10"/>
  <c r="C187" i="10"/>
  <c r="C204" i="10"/>
  <c r="C17" i="10"/>
  <c r="C192" i="10"/>
  <c r="C10" i="10"/>
  <c r="C273" i="10"/>
  <c r="C37" i="10"/>
  <c r="C15" i="10"/>
  <c r="C123" i="10"/>
  <c r="C84" i="10"/>
  <c r="C261" i="10"/>
  <c r="C74" i="10"/>
  <c r="C111" i="10"/>
  <c r="C36" i="10"/>
  <c r="C170" i="10"/>
  <c r="C231" i="10"/>
  <c r="C246" i="10"/>
  <c r="C211" i="10"/>
  <c r="C276" i="10"/>
  <c r="C274" i="10"/>
  <c r="C288" i="10"/>
  <c r="C164" i="10"/>
  <c r="C226" i="10"/>
  <c r="C206" i="10"/>
  <c r="C294" i="10"/>
  <c r="C48" i="10"/>
  <c r="C62" i="10"/>
  <c r="C298" i="10"/>
  <c r="C31" i="10"/>
  <c r="C159" i="10"/>
  <c r="C44" i="10"/>
  <c r="C311" i="10"/>
  <c r="C148" i="10"/>
  <c r="C256" i="10"/>
  <c r="C282" i="10"/>
  <c r="C181" i="10"/>
  <c r="C249" i="10"/>
  <c r="C25" i="10"/>
  <c r="C101" i="10"/>
  <c r="C35" i="10"/>
  <c r="C141" i="10"/>
  <c r="C73" i="10"/>
  <c r="C53" i="10"/>
  <c r="C221" i="10"/>
  <c r="C145" i="10"/>
  <c r="C150" i="10"/>
  <c r="C135" i="10"/>
  <c r="C267" i="10"/>
  <c r="C220" i="10"/>
  <c r="C142" i="10"/>
  <c r="C137" i="10"/>
  <c r="C108" i="10"/>
  <c r="C72" i="10"/>
  <c r="C193" i="10"/>
  <c r="C315" i="10"/>
  <c r="C175" i="10"/>
  <c r="C239" i="10"/>
  <c r="C146" i="10"/>
  <c r="C124" i="10"/>
  <c r="C182" i="10"/>
  <c r="C234" i="10"/>
  <c r="C154" i="10"/>
  <c r="C281" i="10"/>
  <c r="C18" i="10"/>
  <c r="C42" i="10"/>
  <c r="C78" i="10"/>
  <c r="C89" i="10"/>
  <c r="C252" i="10"/>
  <c r="C185" i="10"/>
  <c r="C302" i="10"/>
  <c r="C69" i="10"/>
  <c r="C47" i="10"/>
  <c r="C280" i="10"/>
  <c r="C65" i="10"/>
  <c r="C217" i="10"/>
  <c r="C177" i="10"/>
  <c r="C77" i="10"/>
  <c r="C90" i="10"/>
  <c r="C292" i="10"/>
  <c r="C304" i="10"/>
  <c r="C191" i="10"/>
  <c r="C115" i="10"/>
  <c r="C113" i="10"/>
  <c r="C215" i="10"/>
  <c r="C79" i="10"/>
  <c r="C11" i="10"/>
  <c r="C229" i="10"/>
  <c r="C240" i="10"/>
  <c r="C214" i="10"/>
  <c r="C305" i="10"/>
  <c r="C119" i="10"/>
  <c r="C134" i="10"/>
  <c r="C129" i="10"/>
  <c r="C228" i="10"/>
  <c r="C205" i="10"/>
  <c r="C99" i="10"/>
  <c r="C201" i="10"/>
  <c r="C58" i="10"/>
  <c r="C54" i="10"/>
  <c r="C118" i="10"/>
  <c r="C98" i="10"/>
  <c r="C168" i="10"/>
  <c r="C222" i="10"/>
  <c r="C265" i="10"/>
  <c r="C52" i="10"/>
  <c r="C81" i="10"/>
  <c r="C316" i="10"/>
  <c r="C310" i="10"/>
  <c r="C210" i="10"/>
  <c r="C155" i="10"/>
  <c r="C121" i="10"/>
  <c r="C46" i="10"/>
  <c r="C287" i="10"/>
  <c r="C314" i="10"/>
  <c r="C30" i="10"/>
  <c r="C117" i="10"/>
  <c r="C152" i="10"/>
  <c r="C50" i="10" l="1"/>
  <c r="C86" i="10"/>
  <c r="Q326" i="10"/>
  <c r="C63" i="10"/>
  <c r="C264" i="10"/>
  <c r="C19" i="10"/>
  <c r="C85" i="10"/>
  <c r="C263" i="10"/>
  <c r="C12" i="10"/>
  <c r="C308" i="10"/>
  <c r="C97" i="10"/>
  <c r="C183" i="10"/>
  <c r="C60" i="10"/>
  <c r="C116" i="10"/>
  <c r="C88" i="10"/>
  <c r="C95" i="10"/>
  <c r="C114" i="10"/>
  <c r="C166" i="10"/>
  <c r="C28" i="10"/>
  <c r="C171" i="10"/>
  <c r="C94" i="10"/>
  <c r="C153" i="10"/>
  <c r="C169" i="10"/>
  <c r="C55" i="10"/>
  <c r="X55" i="10"/>
  <c r="C143" i="10"/>
  <c r="X143" i="10"/>
  <c r="C27" i="10"/>
  <c r="X27" i="10"/>
  <c r="C180" i="10"/>
  <c r="X180" i="10"/>
  <c r="C178" i="10"/>
  <c r="X178" i="10"/>
  <c r="C29" i="10"/>
  <c r="X29" i="10"/>
  <c r="C82" i="10"/>
  <c r="X82" i="10"/>
  <c r="C70" i="10"/>
  <c r="X70" i="10"/>
  <c r="C270" i="10"/>
  <c r="X270" i="10"/>
  <c r="C131" i="10"/>
  <c r="X131" i="10"/>
  <c r="C299" i="10"/>
  <c r="X299" i="10"/>
  <c r="C202" i="10"/>
  <c r="X202" i="10"/>
  <c r="C32" i="10"/>
  <c r="X32" i="10"/>
  <c r="C158" i="10"/>
  <c r="X158" i="10"/>
  <c r="C22" i="10"/>
  <c r="X22" i="10"/>
  <c r="C260" i="10"/>
  <c r="X260" i="10"/>
  <c r="C157" i="10"/>
  <c r="X157" i="10"/>
  <c r="C127" i="10"/>
  <c r="X127" i="10"/>
  <c r="C197" i="10"/>
  <c r="X197" i="10"/>
  <c r="C243" i="10"/>
  <c r="X243" i="10"/>
  <c r="C271" i="10"/>
  <c r="X271" i="10"/>
  <c r="C250" i="10"/>
  <c r="X250" i="10"/>
  <c r="C68" i="10"/>
  <c r="X68" i="10"/>
  <c r="C23" i="10"/>
  <c r="X23" i="10"/>
  <c r="C61" i="10"/>
  <c r="X61" i="10"/>
  <c r="C242" i="10"/>
  <c r="X242" i="10"/>
  <c r="C103" i="10"/>
  <c r="X103" i="10"/>
  <c r="C43" i="10"/>
  <c r="X43" i="10"/>
  <c r="C16" i="10"/>
  <c r="X16" i="10"/>
  <c r="C71" i="10"/>
  <c r="X71" i="10"/>
  <c r="C33" i="10"/>
  <c r="X33" i="10"/>
  <c r="C237" i="10"/>
  <c r="X237" i="10"/>
  <c r="C132" i="10"/>
  <c r="X132" i="10"/>
  <c r="C136" i="10"/>
  <c r="X136" i="10"/>
  <c r="C272" i="10"/>
  <c r="X272" i="10"/>
  <c r="C269" i="10"/>
  <c r="X269" i="10"/>
  <c r="C290" i="10"/>
  <c r="X290" i="10"/>
  <c r="C176" i="10"/>
  <c r="X176" i="10"/>
  <c r="C64" i="10"/>
  <c r="X64" i="10"/>
  <c r="C232" i="10"/>
  <c r="X232" i="10"/>
  <c r="C156" i="10"/>
  <c r="X156" i="10"/>
  <c r="C147" i="10"/>
  <c r="X147" i="10"/>
  <c r="C295" i="10"/>
  <c r="X295" i="10"/>
  <c r="C255" i="10"/>
  <c r="X255" i="10"/>
  <c r="C172" i="10"/>
  <c r="X172" i="10"/>
  <c r="C120" i="10"/>
  <c r="X120" i="10"/>
  <c r="C236" i="10"/>
  <c r="X236" i="10"/>
  <c r="C138" i="10"/>
  <c r="X138" i="10"/>
  <c r="C188" i="10"/>
  <c r="X188" i="10"/>
  <c r="C248" i="10"/>
  <c r="X248" i="10"/>
  <c r="C59" i="10"/>
  <c r="X59" i="10"/>
  <c r="C275" i="10"/>
  <c r="X275" i="10"/>
  <c r="C289" i="10"/>
  <c r="X289" i="10"/>
  <c r="C149" i="10"/>
  <c r="X149" i="10"/>
  <c r="C100" i="10"/>
  <c r="X100" i="10"/>
  <c r="C75" i="10"/>
  <c r="X75" i="10"/>
  <c r="C179" i="10"/>
  <c r="X179" i="10"/>
  <c r="C57" i="10"/>
  <c r="X57" i="10"/>
  <c r="C133" i="10"/>
  <c r="X133" i="10"/>
  <c r="C125" i="10"/>
  <c r="X125" i="10"/>
  <c r="C106" i="10"/>
  <c r="X106" i="10"/>
  <c r="C300" i="10"/>
  <c r="X300" i="10"/>
  <c r="C139" i="10"/>
  <c r="X139" i="10"/>
  <c r="C291" i="10"/>
  <c r="X291" i="10"/>
  <c r="C230" i="10"/>
  <c r="X230" i="10"/>
  <c r="C219" i="10"/>
  <c r="X219" i="10"/>
  <c r="C49" i="10"/>
  <c r="X49" i="10"/>
  <c r="C184" i="10"/>
  <c r="X184" i="10"/>
  <c r="C307" i="10"/>
  <c r="X307" i="10"/>
  <c r="C235" i="10"/>
  <c r="X235" i="10"/>
  <c r="C161" i="10"/>
  <c r="X161" i="10"/>
  <c r="C258" i="10"/>
  <c r="X258" i="10"/>
  <c r="C26" i="10"/>
  <c r="X26" i="10"/>
  <c r="C174" i="10"/>
  <c r="X174" i="10"/>
  <c r="C207" i="10"/>
  <c r="X207" i="10"/>
  <c r="C268" i="10"/>
  <c r="X268" i="10"/>
  <c r="C92" i="10"/>
  <c r="X92" i="10"/>
  <c r="C160" i="10"/>
  <c r="X160" i="10"/>
  <c r="C277" i="10"/>
  <c r="X277" i="10"/>
  <c r="C253" i="10"/>
  <c r="X253" i="10"/>
  <c r="C130" i="10"/>
  <c r="X130" i="10"/>
  <c r="C151" i="10"/>
  <c r="X151" i="10"/>
  <c r="C213" i="10"/>
  <c r="X213" i="10"/>
  <c r="C216" i="10"/>
  <c r="X216" i="10"/>
  <c r="C225" i="10"/>
  <c r="X225" i="10"/>
  <c r="C163" i="10"/>
  <c r="X163" i="10"/>
  <c r="C110" i="10"/>
  <c r="X110" i="10"/>
  <c r="C189" i="10"/>
  <c r="X189" i="10"/>
  <c r="C186" i="10"/>
  <c r="X186" i="10"/>
  <c r="C45" i="10"/>
  <c r="X45" i="10"/>
  <c r="C218" i="10"/>
  <c r="X218" i="10"/>
  <c r="C91" i="10"/>
  <c r="X91" i="10"/>
  <c r="C286" i="10"/>
  <c r="X286" i="10"/>
  <c r="C212" i="10"/>
  <c r="X212" i="10"/>
  <c r="C198" i="10"/>
  <c r="X198" i="10"/>
  <c r="C257" i="10"/>
  <c r="X257" i="10"/>
  <c r="C109" i="10"/>
  <c r="X109" i="10"/>
  <c r="C40" i="10"/>
  <c r="X40" i="10"/>
  <c r="C162" i="10"/>
  <c r="X162" i="10"/>
  <c r="C203" i="10"/>
  <c r="X203" i="10"/>
  <c r="C247" i="10"/>
  <c r="X247" i="10"/>
  <c r="C87" i="10"/>
  <c r="X87" i="10"/>
  <c r="C144" i="10"/>
  <c r="X144" i="10"/>
  <c r="C128" i="10"/>
  <c r="X128" i="10"/>
  <c r="C278" i="10"/>
  <c r="X278" i="10"/>
  <c r="C297" i="10"/>
  <c r="X297" i="10"/>
  <c r="C41" i="10"/>
  <c r="C208" i="10"/>
  <c r="C238" i="10"/>
  <c r="C233" i="10"/>
  <c r="C24" i="10"/>
  <c r="C39" i="10"/>
  <c r="C67" i="10"/>
  <c r="C122" i="10"/>
  <c r="C34" i="10"/>
  <c r="C209" i="10"/>
  <c r="C283" i="10"/>
  <c r="C200" i="10"/>
  <c r="C301" i="10"/>
  <c r="C262" i="10"/>
  <c r="C96" i="10"/>
  <c r="C227" i="10"/>
  <c r="C244" i="10"/>
  <c r="C76" i="10"/>
  <c r="C14" i="10"/>
  <c r="E99" i="30" s="1"/>
  <c r="E104" i="30" s="1"/>
  <c r="C190" i="10"/>
  <c r="C199" i="10"/>
  <c r="C293" i="10"/>
  <c r="C284" i="10"/>
  <c r="C296" i="10"/>
  <c r="C306" i="10"/>
  <c r="C140" i="10"/>
  <c r="C104" i="10"/>
  <c r="C126" i="10"/>
  <c r="C279" i="10"/>
  <c r="C80" i="10"/>
  <c r="C38" i="10"/>
  <c r="C303" i="10"/>
  <c r="C223" i="10"/>
  <c r="C107" i="10"/>
  <c r="C105" i="10"/>
  <c r="C194" i="10"/>
  <c r="C309" i="10"/>
  <c r="C83" i="10"/>
  <c r="C195" i="10"/>
  <c r="C102" i="10"/>
  <c r="C93" i="10"/>
  <c r="C313" i="10"/>
  <c r="C173" i="10"/>
  <c r="C165" i="10"/>
  <c r="X330" i="10" l="1"/>
  <c r="C326" i="10"/>
  <c r="Y48" i="13" s="1"/>
  <c r="Y49" i="13" s="1"/>
  <c r="Q332" i="10"/>
  <c r="Z40" i="13"/>
  <c r="Z49" i="13" s="1"/>
  <c r="AE34" i="13"/>
  <c r="P44" i="13" l="1"/>
  <c r="P50" i="13" s="1"/>
  <c r="P5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Miranda</author>
  </authors>
  <commentList>
    <comment ref="L1" authorId="0" shapeId="0" xr:uid="{00263AA1-794B-489E-B70B-22007ACBF56F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 by OPEB Expense years minus 1</t>
        </r>
      </text>
    </comment>
    <comment ref="H2" authorId="0" shapeId="0" xr:uid="{45999F37-7F4D-47CA-8ADE-CCCDBE8945B1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divided by years as listed at O-05.02,pdf pg 26 (Section 2: GASB 75 info)</t>
        </r>
      </text>
    </comment>
  </commentList>
</comments>
</file>

<file path=xl/sharedStrings.xml><?xml version="1.0" encoding="utf-8"?>
<sst xmlns="http://schemas.openxmlformats.org/spreadsheetml/2006/main" count="3826" uniqueCount="607">
  <si>
    <t>Employer Code</t>
  </si>
  <si>
    <t>Employer</t>
  </si>
  <si>
    <t>Employer Allocation Percentage</t>
  </si>
  <si>
    <t>(1)</t>
  </si>
  <si>
    <t>(2)</t>
  </si>
  <si>
    <t>STATE OF NEW MEXICO</t>
  </si>
  <si>
    <t>21ST CENTURY PUBLIC ACADEMY</t>
  </si>
  <si>
    <t>ABQ CHARTER ACADEMY</t>
  </si>
  <si>
    <t>ACADEMY FOR TECHNOLOGY &amp; THE CLASSICS</t>
  </si>
  <si>
    <t>ACE LEADERSHIP</t>
  </si>
  <si>
    <t>ALAMOGORDO PUBLIC SCHOOLS</t>
  </si>
  <si>
    <t>ALBUQUERQUE BERNALILLO COUNTY WATER UTILITY AUTHORITY</t>
  </si>
  <si>
    <t>ALBUQUERQUE HOUSING AUTHORITY</t>
  </si>
  <si>
    <t>ALBUQUERQUE PUBLIC SCHOOLS</t>
  </si>
  <si>
    <t>ALBUQUERQUE SCHOOL OF EXCELLENCE</t>
  </si>
  <si>
    <t>ALBUQUERQUE SIGN LANGUAGE ACADEMY</t>
  </si>
  <si>
    <t>ALBUQUERQUE TALENT DEVELOPMENT SECONDARY CHARTER SCHOOL</t>
  </si>
  <si>
    <t>ALDO LEOPOLD CHARTER SCHOOL</t>
  </si>
  <si>
    <t>ALICE KING COMMUNITY SCHOOL</t>
  </si>
  <si>
    <t>ALMA D' ARTE CHARTER HIGH</t>
  </si>
  <si>
    <t>AMY BIEHL CHARTER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</si>
  <si>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</si>
  <si>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</si>
  <si>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</si>
  <si>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</si>
  <si>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</si>
  <si>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COUNTY</t>
  </si>
  <si>
    <t>BERNALILLO PUBLIC SCHOOLS</t>
  </si>
  <si>
    <t>BLOOMFIELD MUNICIPAL SCHOOLS</t>
  </si>
  <si>
    <t>CAPITAN MUNICIPAL SCHOOLS</t>
  </si>
  <si>
    <t>CARLSBAD MUNICIPAL SCHOOLS</t>
  </si>
  <si>
    <t>CARRIZOZO MUNICIPAL SCHOOLS</t>
  </si>
  <si>
    <t>CENTRAL CONSOLIDATED SCHOOL DISTRICT #22</t>
  </si>
  <si>
    <t>CENTRAL NEW MEXICO COMMUNITY COLLEGE</t>
  </si>
  <si>
    <t>CENTRAL REGION EDUCATION COOPERATIVE</t>
  </si>
  <si>
    <t>CESAR CHAVEZ COMMUNITY CHARTER SCHOOL</t>
  </si>
  <si>
    <t>CHAMA VALLEY INDEPENDENT SCHOOLS</t>
  </si>
  <si>
    <t>CHAVES COUNTY</t>
  </si>
  <si>
    <t>CHRISTINE DUNCAN'S HERITAGE ACADEMY</t>
  </si>
  <si>
    <t>CIBOLA COUNTY</t>
  </si>
  <si>
    <t>CIEN AGUAS INTERNATIONAL CHARTER SCHOOL</t>
  </si>
  <si>
    <t>CIMARRON MUNICIPAL SCHOOLS</t>
  </si>
  <si>
    <t>CITY OF ALAMOGORDO</t>
  </si>
  <si>
    <t>CITY OF ALBUQUERQUE</t>
  </si>
  <si>
    <t>CITY OF AZTEC</t>
  </si>
  <si>
    <t>CITY OF BELEN</t>
  </si>
  <si>
    <t>CITY OF BLOOMFIELD</t>
  </si>
  <si>
    <t>CITY OF CARLSBAD</t>
  </si>
  <si>
    <t>CITY OF CLOVIS</t>
  </si>
  <si>
    <t>CITY OF DEMING</t>
  </si>
  <si>
    <t>CITY OF ESPANOLA</t>
  </si>
  <si>
    <t>CITY OF FARMINGTON</t>
  </si>
  <si>
    <t>CITY OF GALLUP</t>
  </si>
  <si>
    <t>CITY OF JAL</t>
  </si>
  <si>
    <t>CITY OF LAS CRUCES</t>
  </si>
  <si>
    <t>CITY OF LAS VEGAS</t>
  </si>
  <si>
    <t>CITY OF MORIARTY</t>
  </si>
  <si>
    <t>CITY OF PORTALES</t>
  </si>
  <si>
    <t>CITY OF RATON</t>
  </si>
  <si>
    <t>CITY OF RIO RANCHO</t>
  </si>
  <si>
    <t>CITY OF ROSWELL</t>
  </si>
  <si>
    <t>CITY OF SANTA FE</t>
  </si>
  <si>
    <t>CITY OF SANTA ROSA</t>
  </si>
  <si>
    <t>CITY OF SOCORRO</t>
  </si>
  <si>
    <t>CITY OF SUNLAND PARK</t>
  </si>
  <si>
    <t>CITY OF T OR C</t>
  </si>
  <si>
    <t>CITY OF TEXICO</t>
  </si>
  <si>
    <t>CITY OF TUCUMCARI</t>
  </si>
  <si>
    <t>CLAYTON MUNICIPAL SCHOOLS</t>
  </si>
  <si>
    <t>CLOUDCROFT MUNICIPAL  SCHOOL DISTRICT</t>
  </si>
  <si>
    <t>CLOVIS MUNICIPAL SCHOOLS</t>
  </si>
  <si>
    <t>COBRE CONSOLIDATED SCHOOLS</t>
  </si>
  <si>
    <t>COLFAX COUNTY</t>
  </si>
  <si>
    <t>CORAL COMMUNITY CHARTER SCHOOL</t>
  </si>
  <si>
    <t>CORONA PUBLIC SCHOOLS</t>
  </si>
  <si>
    <t>CORRALES INTERNATIONAL SCHOOL</t>
  </si>
  <si>
    <t xml:space="preserve">COTTONWOOD CLASSICAL PREPARATORY SCHOOL </t>
  </si>
  <si>
    <t>COTTONWOOD VALLEY CHARTER SCHOOL</t>
  </si>
  <si>
    <t>CUBA INDEPENDENT SCHOOLS</t>
  </si>
  <si>
    <t>CURRY COUNTY</t>
  </si>
  <si>
    <t>DEMING CESAR CHAVEZ CHARTER HIGH SCHOOL</t>
  </si>
  <si>
    <t>DEMING PUBLIC SCHOOLS</t>
  </si>
  <si>
    <t>DES MOINES MUNICIPAL SCHOOLS</t>
  </si>
  <si>
    <t>DEXTER CONSOLIDATED SCHOOLS</t>
  </si>
  <si>
    <t>DIGITAL ARTS &amp; TECHNOLOGY ACADEMY</t>
  </si>
  <si>
    <t>DORA CONSOLIDATED SCHOOLS</t>
  </si>
  <si>
    <t>DREAM DINE' CHARTER SCHOOL</t>
  </si>
  <si>
    <t>DULCE INDEPENDENT SCHOOLS</t>
  </si>
  <si>
    <t>DZIL DIT L'OOI SCHOOL OF EMPOWERMENT</t>
  </si>
  <si>
    <t>EAST MOUNTAIN HIGH SCHOOL</t>
  </si>
  <si>
    <t>EASTERN NEW MEXICO UNIVERSITY AT ROSWELL</t>
  </si>
  <si>
    <t>EASTERN NEW MEXICO UNIVERSITY AT PORTALES</t>
  </si>
  <si>
    <t>EDDY COUNTY</t>
  </si>
  <si>
    <t>EL CAMINO REAL ACADEMY</t>
  </si>
  <si>
    <t>ELIDA MUNICIPAL SCHOOLS</t>
  </si>
  <si>
    <t>ESPANOLA PUBLIC SCHOOLS</t>
  </si>
  <si>
    <t>ESTANCIA MUNICIPAL SCHOOLS</t>
  </si>
  <si>
    <t>ESTANCIA VALLEY CLASSICAL CHARTER SCHOOL</t>
  </si>
  <si>
    <t>EUNICE PUBLIC SCHOOLS</t>
  </si>
  <si>
    <t>EXPLORE ACADEMY</t>
  </si>
  <si>
    <t>FARMINGTON MUNICIPAL SCHOOLS</t>
  </si>
  <si>
    <t>FLOYD MUNICIPAL SCHOOLS</t>
  </si>
  <si>
    <t>FT SUMNER MUNICIPAL SCHOOLS</t>
  </si>
  <si>
    <t>GADSDEN INDEPENDENT SCHOOL DISTRICT</t>
  </si>
  <si>
    <t>GALLUP HOUSING AUTHORITY</t>
  </si>
  <si>
    <t>GALLUP-MCKINLEY COUNTY SCHOOLS</t>
  </si>
  <si>
    <t>GILBERT L. SENA CHARTER HIGH SCHOOL</t>
  </si>
  <si>
    <t>GORDON BERNELL CHARTER SCHOOL</t>
  </si>
  <si>
    <t>GRADY MUNICIPAL SCHOOLS</t>
  </si>
  <si>
    <t>GRANT COUNTY</t>
  </si>
  <si>
    <t>GRANTS-CIBOLA COUNTY SCHOOLS</t>
  </si>
  <si>
    <t>HAGERMAN MUNICIPAL SCHOOLS</t>
  </si>
  <si>
    <t>HATCH VALLEY MUNICIPAL SCHOOLS</t>
  </si>
  <si>
    <t>HEALTH LEADERSHIP HIGH SCHOOL</t>
  </si>
  <si>
    <t>HIGH PLAINS REGIONAL EDUCATION COOPERATIVE</t>
  </si>
  <si>
    <t>HOBBS MUNICIPAL SCHOOLS</t>
  </si>
  <si>
    <t>HONDO VALLEY PUBLIC SCHOOLS</t>
  </si>
  <si>
    <t>HORIZON ACADEMY WEST</t>
  </si>
  <si>
    <t>HOUSE MUNICIPAL SCHOOLS</t>
  </si>
  <si>
    <t>INTERNATIONAL SCHOOL AT MESA DEL SOL</t>
  </si>
  <si>
    <t>J. PAUL TAYLOR ACADEMY</t>
  </si>
  <si>
    <t>JAL PUBLIC SCHOOLS</t>
  </si>
  <si>
    <t>JEFFERSON MONTESSORI ACADEMY</t>
  </si>
  <si>
    <t>JEMEZ MOUNTAIN SCHOOL DISTRICT</t>
  </si>
  <si>
    <t>JEMEZ VALLEY PUBLIC SCHOOLS</t>
  </si>
  <si>
    <t>LA ACADEMIA DE DOLORES HUERTA</t>
  </si>
  <si>
    <t>LA ACADEMIA DE ESPERANZA CHARTER SCHOOL</t>
  </si>
  <si>
    <t>LA PROMESA EARLY LEARNING CENTER</t>
  </si>
  <si>
    <t>LA TIERRA MONTESSORI SCHOOL</t>
  </si>
  <si>
    <t>LAKE ARTHUR SCHOOLS</t>
  </si>
  <si>
    <t>LAS CRUCES SCHOOL DISTRICT #2</t>
  </si>
  <si>
    <t>LAS MONTANAS CHARTER HIGH SCHOOL</t>
  </si>
  <si>
    <t>LAS VEGAS CITY SCHOOLS</t>
  </si>
  <si>
    <t>LEA COUNTY</t>
  </si>
  <si>
    <t>LINCOLN COUNTY</t>
  </si>
  <si>
    <t>LOGAN MUNICIPAL SCHOOLS</t>
  </si>
  <si>
    <t>LORDSBURG MUNICIPAL SCHOOLS</t>
  </si>
  <si>
    <t>LOS ALAMOS COUNTY</t>
  </si>
  <si>
    <t>LOS ALAMOS PUBLIC SCHOOLS</t>
  </si>
  <si>
    <t>LOS LUNAS CONSOLIDATED SCHOOLS</t>
  </si>
  <si>
    <t>LOS PUENTES CHARTER SCHOOL</t>
  </si>
  <si>
    <t>LOVING MUNICIPAL SCHOOLS</t>
  </si>
  <si>
    <t>LOVINGTON MUNICIPAL SCHOOLS</t>
  </si>
  <si>
    <t>LUNA COMMUNITY COLLEGE</t>
  </si>
  <si>
    <t>LUNA COUNTY</t>
  </si>
  <si>
    <t>MAGDALENA MUNICIPAL SCHOOLS</t>
  </si>
  <si>
    <t>MAXWELL MUNICIPAL SCHOOLS</t>
  </si>
  <si>
    <t>MCCURDY CHARTER SCHOOL</t>
  </si>
  <si>
    <t>MCKINLEY COUNTY</t>
  </si>
  <si>
    <t>MEDIA ARTS COLLABORATIVE CHARTER SCHOOL</t>
  </si>
  <si>
    <t>MELROSE MUNICIPAL SCHOOLS</t>
  </si>
  <si>
    <t>MESA VISTA SCHOOLS</t>
  </si>
  <si>
    <t>MESALANDS COMMUNITY COLLEGE</t>
  </si>
  <si>
    <t>MIDDLE COLLEGE HIGH SCHOOL</t>
  </si>
  <si>
    <t>MISSION ACHIEVEMENT &amp; SUCCESS SCHOOL</t>
  </si>
  <si>
    <t>MONTE DEL SOL CHARTER SCHOOL</t>
  </si>
  <si>
    <t>MONTESSORI ELEMENTARY CHARTER SCHOOL</t>
  </si>
  <si>
    <t>MONTESSORI OF THE RIO GRANDE CHARTER SCHOOL</t>
  </si>
  <si>
    <t>MORA INDEPENDENT SCHOOLS</t>
  </si>
  <si>
    <t>MORENO VALLEY CHARTER HIGH SCHOOL</t>
  </si>
  <si>
    <t>MORIARTY-EDGEWOOD SCHOOL DISTRICT</t>
  </si>
  <si>
    <t>MOSAIC ACADEMY CHARTER SCHOOL</t>
  </si>
  <si>
    <t>MOSQUERO MUNICIPAL SCHOOLS</t>
  </si>
  <si>
    <t>MOUNTAIN MAHOGANY COMMUNITY SCHOOL</t>
  </si>
  <si>
    <t>MOUNTAINAIR PUBLIC SCHOOLS</t>
  </si>
  <si>
    <t xml:space="preserve">NATIONAL EDUCATION ASSOCIATION - NEW MEXICO </t>
  </si>
  <si>
    <t>NATIVE AMERICAN COMMUNITY ACADEMY</t>
  </si>
  <si>
    <t>NEW MEXICO ACTIVITIES ASSOCIATION</t>
  </si>
  <si>
    <t>NEW MEXICO CONNECTIONS ACADEMY</t>
  </si>
  <si>
    <t>NEW MEXICO HIGHLANDS UNIVERSITY</t>
  </si>
  <si>
    <t>NEW MEXICO INTERNATIONAL SCHOOL</t>
  </si>
  <si>
    <t>NEW MEXICO JUNIOR COLLEGE</t>
  </si>
  <si>
    <t>NEW MEXICO MILITARY INSTITUTE</t>
  </si>
  <si>
    <t>NEW MEXICO SCHOOL FOR THE ARTS</t>
  </si>
  <si>
    <t>NEW MEXICO SCHOOL FOR THE DEAF</t>
  </si>
  <si>
    <t>NM SCHOOL FOR THE BLIND &amp; VISUAL IMPAIRED</t>
  </si>
  <si>
    <t>NORTH CENTRAL NEW MEXICO ECONOMIC DEVELOPMENT DISTRICT</t>
  </si>
  <si>
    <t>NORTH CENTRAL REGIONAL TRANSIT DISTRICT</t>
  </si>
  <si>
    <t>NORTH CENTRAL SOLID WASTE AUTHORITY</t>
  </si>
  <si>
    <t>NORTH VALLEY ACADEMY</t>
  </si>
  <si>
    <t>NORTHEAST REGIONAL EDUCATION COOPERATIVE #4</t>
  </si>
  <si>
    <t>NORTHERN NEW MEXICO COLLEGE</t>
  </si>
  <si>
    <t>NORTHERN REGIONAL HOUSING AUTHORITY</t>
  </si>
  <si>
    <t>NORTHWEST NEW MEXICO REGIONAL SOLID WASTE AUTHORITY</t>
  </si>
  <si>
    <t>NORTHWEST REGIONAL EDUCATION COOPERATIVE #2</t>
  </si>
  <si>
    <t>NUESTROS VALORES CHARTER SCHOOL</t>
  </si>
  <si>
    <t>PECOS CONNECTIONS ACADEMY</t>
  </si>
  <si>
    <t>PECOS INDEPENDENT SCHOOLS</t>
  </si>
  <si>
    <t>PECOS VALLEY REGIONAL EDUCATION COOPERATIVE #8</t>
  </si>
  <si>
    <t>PENASCO INDEPENDENT SCHOOLS</t>
  </si>
  <si>
    <t>POJOAQUE VALLEY SCHOOLS</t>
  </si>
  <si>
    <t>PORTALES MUNICIPAL SCHOOLS</t>
  </si>
  <si>
    <t>PUBLIC ACADEMY FOR THE PERFORMING ARTS</t>
  </si>
  <si>
    <t xml:space="preserve">QUEMADO INDEPENDENT SCHOOL DISTRICT </t>
  </si>
  <si>
    <t>QUESTA INDEPENDENT SCHOOLS</t>
  </si>
  <si>
    <t>RATON HOUSING AUTHORITY</t>
  </si>
  <si>
    <t>RATON PUBLIC SCHOOLS</t>
  </si>
  <si>
    <t>RATON PUBLIC SERVICE</t>
  </si>
  <si>
    <t>RED RIVER VALLEY CHARTER SCHOOL</t>
  </si>
  <si>
    <t>REGION IX EDUCATION COOPERATIVE</t>
  </si>
  <si>
    <t>REGIONAL EDUCATION COOPERATIVE #6</t>
  </si>
  <si>
    <t>REGIONAL EDUCATION COOPERATIVE VII</t>
  </si>
  <si>
    <t>REGIONAL EMERGENCY DISPATCH AUTHORITY</t>
  </si>
  <si>
    <t>RESERVE SCHOOL DISTRICT</t>
  </si>
  <si>
    <t>RIO ARRIBA COUNTY</t>
  </si>
  <si>
    <t>RIO GALLINAS CHARTER SCHOOL</t>
  </si>
  <si>
    <t>RIO RANCHO PUBLIC SCHOOLS</t>
  </si>
  <si>
    <t>ROBERT F. KENNEDY CHARTER SCHOOL</t>
  </si>
  <si>
    <t>ROOSEVELT COUNTY</t>
  </si>
  <si>
    <t>ROOTS AND WINGS COMMUNITY SCHOOL</t>
  </si>
  <si>
    <t>ROSWELL INDEPENDENT SCHOOLS</t>
  </si>
  <si>
    <t>ROY SCHOOLS</t>
  </si>
  <si>
    <t>RUIDOSO MUNICIPAL SCHOOLS</t>
  </si>
  <si>
    <t>SAN DIEGO RIVERSIDE CHARTER SCHOOL</t>
  </si>
  <si>
    <t>SAN JON MUNICIPAL SCHOOLS</t>
  </si>
  <si>
    <t>SAN JUAN COMMUNICATIONS</t>
  </si>
  <si>
    <t>SAN JUAN COUNTY</t>
  </si>
  <si>
    <t>SAN JUAN WATER COMMISSION</t>
  </si>
  <si>
    <t>SAN MIGUEL COUNTY</t>
  </si>
  <si>
    <t>SANDOVAL ACADEMY OF BILINGUAL EDUCATION</t>
  </si>
  <si>
    <t xml:space="preserve">SANDOVAL COUNTY </t>
  </si>
  <si>
    <t>SANTA FE CIVIC HOUSING AUTHORITY</t>
  </si>
  <si>
    <t>SANTA FE COMMUNITY COLLEGE</t>
  </si>
  <si>
    <t>SANTA FE COUNTY</t>
  </si>
  <si>
    <t>SANTA FE PUBLIC SCHOOLS</t>
  </si>
  <si>
    <t>SANTA ROSA CONSOLIDATED SCHOOLS</t>
  </si>
  <si>
    <t>SCHOOL OF DREAMS ACADEMY</t>
  </si>
  <si>
    <t>SIDNEY GUTIERREZ MIDDLE SCHOOL</t>
  </si>
  <si>
    <t>SIEMBRA LEADERSHIP CHARTER SCHOOL</t>
  </si>
  <si>
    <t>SIERRA COUNTY</t>
  </si>
  <si>
    <t>SILVER CITY CONSOLIDATED SCHOOLS</t>
  </si>
  <si>
    <t>SIX DIRECTIONS INDIGENOUS SCHOOL</t>
  </si>
  <si>
    <t>SOCORRO CONSOLIDATED SCHOOLS</t>
  </si>
  <si>
    <t>SOUTH VALLEY ACADEMY</t>
  </si>
  <si>
    <t>SOUTH VALLEY PREPARATORY SCHOOL</t>
  </si>
  <si>
    <t xml:space="preserve">SOUTHERN SANDOVAL COUNTY ARROYO FLOOD CONTROL AUTHORITY </t>
  </si>
  <si>
    <t>SOUTHWEST AERONAUTICS MATH &amp; SCIENCE ACADEMY</t>
  </si>
  <si>
    <t>SOUTHWEST NEW MEXICO COUNCIL OF GOVERNMENTS</t>
  </si>
  <si>
    <t>SOUTHWEST PRIMARY LEARNING CENTER</t>
  </si>
  <si>
    <t>SOUTHWEST REGIONAL EDUCATION #10</t>
  </si>
  <si>
    <t>SOUTHWEST SECONDARY LEARNING CENTER</t>
  </si>
  <si>
    <t>SPRINGER HOUSING AUTHORITY</t>
  </si>
  <si>
    <t>SPRINGER MUNICIPAL SCHOOLS</t>
  </si>
  <si>
    <t>TAOS ACADEMY CHARTER SCHOOL</t>
  </si>
  <si>
    <t>TAOS CHARTER SCHOOL</t>
  </si>
  <si>
    <t>TAOS COUNTY</t>
  </si>
  <si>
    <t>TAOS INTEGRATED SCHOOL OF THE ARTS</t>
  </si>
  <si>
    <t>TAOS MUNICIPAL SCHOOLS</t>
  </si>
  <si>
    <t>TATUM MUNICIPAL SCHOOLS</t>
  </si>
  <si>
    <t>TECH LEADERSHIP HIGH SCHOOL</t>
  </si>
  <si>
    <t>TEXICO MUNICIPAL SCHOOLS</t>
  </si>
  <si>
    <t>THE ASK ACADEMY</t>
  </si>
  <si>
    <t>THE GREAT ACADEMY</t>
  </si>
  <si>
    <t>THE MASTERS PROGRAM</t>
  </si>
  <si>
    <t>THE NEW AMERICA SCHOOL</t>
  </si>
  <si>
    <t>THE NEW AMERICA SCHOOL - LAS CRUCES</t>
  </si>
  <si>
    <t>TIERRA ADENTRO OF NEW MEXICO</t>
  </si>
  <si>
    <t>TIERRA ENCANTADA CHARTER HIGH SCHOOL</t>
  </si>
  <si>
    <t>TIERRA Y MONTES SOIL AND WATER CONSERVATION DISTRICT</t>
  </si>
  <si>
    <t>TORRANCE COUNTY</t>
  </si>
  <si>
    <t>TOWN OF BERNALILLO</t>
  </si>
  <si>
    <t>TOWN OF EDGEWOOD</t>
  </si>
  <si>
    <t>TOWN OF ELIDA</t>
  </si>
  <si>
    <t>TOWN OF ESTANCIA</t>
  </si>
  <si>
    <t>TOWN OF SILVER CITY</t>
  </si>
  <si>
    <t>TOWN OF SPRINGER</t>
  </si>
  <si>
    <t>TOWN OF TAOS</t>
  </si>
  <si>
    <t>TOWN OF TATUM</t>
  </si>
  <si>
    <t>TRUTH OR CONSEQUENCES HOUSING AUTHORITY</t>
  </si>
  <si>
    <t>TRUTH OR CONSEQUENCES MUNICIPAL SCHOOLS</t>
  </si>
  <si>
    <t>TUCUMCARI PUBLIC SCHOOLS</t>
  </si>
  <si>
    <t>TULAROSA MUNICIPAL SCHOOLS</t>
  </si>
  <si>
    <t>TURQUOISE TRAIL CHARTER SCHOOL</t>
  </si>
  <si>
    <t>UNION COUNTY</t>
  </si>
  <si>
    <t>VALENCIA COUNTY</t>
  </si>
  <si>
    <t>VAUGHN MUNICIPAL SCHOOLS</t>
  </si>
  <si>
    <t>VILLAGE OF BOSQUE FARMS</t>
  </si>
  <si>
    <t>VILLAGE OF CHAMA</t>
  </si>
  <si>
    <t>VILLAGE OF FT SUMNER</t>
  </si>
  <si>
    <t>VILLAGE OF HATCH</t>
  </si>
  <si>
    <t xml:space="preserve">VILLAGE OF JEMEZ SPRINGS </t>
  </si>
  <si>
    <t>VILLAGE OF LOGAN</t>
  </si>
  <si>
    <t>VILLAGE OF MELROSE</t>
  </si>
  <si>
    <t>VILLAGE OF MILAN</t>
  </si>
  <si>
    <t>VILLAGE OF PECOS</t>
  </si>
  <si>
    <t>VILLAGE OF QUESTA</t>
  </si>
  <si>
    <t>VILLAGE OF RESERVE</t>
  </si>
  <si>
    <t>VILLAGE OF TIJERAS</t>
  </si>
  <si>
    <t>VISTA GRANDE CHARTER HIGH SCHOOL</t>
  </si>
  <si>
    <t>WAGON MOUND PUBLIC SCHOOLS</t>
  </si>
  <si>
    <t>WALATOWA CHARTER HIGH SCHOOL</t>
  </si>
  <si>
    <t>WEST LAS VEGAS PUBLIC SCHOOLS</t>
  </si>
  <si>
    <t>WESTERN NEW MEXICO UNIVERSITY</t>
  </si>
  <si>
    <t>WILLIAM W. &amp; JOSEPHINE DORN CHARTER SCHOOL</t>
  </si>
  <si>
    <t>ZUNI PUBLIC SCHOOLS</t>
  </si>
  <si>
    <t>Deferred Inflows of Resources</t>
  </si>
  <si>
    <t>Differences Between Expected and Actual Experience</t>
  </si>
  <si>
    <t>Net Difference Between Projected and Actual Investment Earnings on OPEB Plan Investments</t>
  </si>
  <si>
    <t>Changes of Assumptions</t>
  </si>
  <si>
    <t>Total Deferred Inflows of Resources</t>
  </si>
  <si>
    <t>Subsequent Recognition of Deferred Amounts</t>
  </si>
  <si>
    <t>(16)</t>
  </si>
  <si>
    <t>Expensed portion of current-period difference between</t>
  </si>
  <si>
    <t>Expensed portion of current-period differences</t>
  </si>
  <si>
    <t xml:space="preserve">Interest on the total OPEB liability </t>
  </si>
  <si>
    <t xml:space="preserve">Actual member contributions </t>
  </si>
  <si>
    <t xml:space="preserve">Projected earnings on plan investments </t>
  </si>
  <si>
    <t>expected and actual experience in the total OPEB liability</t>
  </si>
  <si>
    <t>Expensed portion of current-period changes of assumptions</t>
  </si>
  <si>
    <t xml:space="preserve">or other inputs </t>
  </si>
  <si>
    <t>between actual and projected earnings on plan investments</t>
  </si>
  <si>
    <t xml:space="preserve">Year of </t>
  </si>
  <si>
    <t>Deferral</t>
  </si>
  <si>
    <t>Amortization</t>
  </si>
  <si>
    <t>Period</t>
  </si>
  <si>
    <t>Beginning</t>
  </si>
  <si>
    <t>Balance</t>
  </si>
  <si>
    <t xml:space="preserve">Changes of assumptions or other inputs </t>
  </si>
  <si>
    <t xml:space="preserve">Difference between expected and actual </t>
  </si>
  <si>
    <t>experience in the total OPEB liability</t>
  </si>
  <si>
    <t>earnings on plan investments</t>
  </si>
  <si>
    <t>Total deferred inflows of resources</t>
  </si>
  <si>
    <t>Current Year</t>
  </si>
  <si>
    <t>Changes</t>
  </si>
  <si>
    <t>Ending</t>
  </si>
  <si>
    <t>1-Percent Decrease</t>
  </si>
  <si>
    <t>1-Percent Increase</t>
  </si>
  <si>
    <t>(17)</t>
  </si>
  <si>
    <t>(18)</t>
  </si>
  <si>
    <t>(19)</t>
  </si>
  <si>
    <t>(20)</t>
  </si>
  <si>
    <t xml:space="preserve"> </t>
  </si>
  <si>
    <t>Actuarial cost method</t>
  </si>
  <si>
    <t>Entry age normal, level percent of pay,</t>
  </si>
  <si>
    <t>calculated on individual employee basis</t>
  </si>
  <si>
    <t>Asset valuation method</t>
  </si>
  <si>
    <t>Market value of assets</t>
  </si>
  <si>
    <t>Actuarial assumptions:</t>
  </si>
  <si>
    <t>Inflation</t>
  </si>
  <si>
    <t>Investment rate of return</t>
  </si>
  <si>
    <t>and margin for adverse deviation including inflation</t>
  </si>
  <si>
    <t>Total OPEB liability</t>
  </si>
  <si>
    <t>Plan fiduciary net position</t>
  </si>
  <si>
    <t>Net OPEB liability</t>
  </si>
  <si>
    <t xml:space="preserve">Plan fiduciary net position as a percentage of </t>
  </si>
  <si>
    <t>Asset Class</t>
  </si>
  <si>
    <t>Rate of Return</t>
  </si>
  <si>
    <t xml:space="preserve">U.S. core fixed income </t>
  </si>
  <si>
    <t xml:space="preserve">U.S. equity - large cap </t>
  </si>
  <si>
    <t>Private equity</t>
  </si>
  <si>
    <t>Credit and structured finance</t>
  </si>
  <si>
    <t>Real estate</t>
  </si>
  <si>
    <t>U.S. equity - small/mid cap</t>
  </si>
  <si>
    <t>Long-Term</t>
  </si>
  <si>
    <t>1% Decrease</t>
  </si>
  <si>
    <t>Current Discount</t>
  </si>
  <si>
    <t>1% Increase</t>
  </si>
  <si>
    <t>Current Trend</t>
  </si>
  <si>
    <t>Rates</t>
  </si>
  <si>
    <t>Projected payroll increases</t>
  </si>
  <si>
    <t>Health care cost trend rate</t>
  </si>
  <si>
    <t>Deferred Inflows</t>
  </si>
  <si>
    <t>Deferred Outflows</t>
  </si>
  <si>
    <t>Total</t>
  </si>
  <si>
    <t>Mortality</t>
  </si>
  <si>
    <t>Target</t>
  </si>
  <si>
    <t>Allocation</t>
  </si>
  <si>
    <t>Deferred Outflows of Resources</t>
  </si>
  <si>
    <t>Changes in Proportion</t>
  </si>
  <si>
    <t>Total Deferred Outflows of Resources</t>
  </si>
  <si>
    <t>NOL &amp; Deferred Amounts</t>
  </si>
  <si>
    <t>nol py</t>
  </si>
  <si>
    <t>def inflows py</t>
  </si>
  <si>
    <t xml:space="preserve">OPEB Expense </t>
  </si>
  <si>
    <t>Deferred Amounts</t>
  </si>
  <si>
    <t>Check</t>
  </si>
  <si>
    <t>Do not print</t>
  </si>
  <si>
    <t>O-05.02</t>
  </si>
  <si>
    <t>Non Employer Specific Amounts</t>
  </si>
  <si>
    <t>Recognition of beginning of year deferred inflows of resources</t>
  </si>
  <si>
    <t>Net Amortization of Deferred Amounts from Changes in Proportion</t>
  </si>
  <si>
    <t>New Mexico Retiree Health Care Authority</t>
  </si>
  <si>
    <t>Schedule of Employer Allocations</t>
  </si>
  <si>
    <t>Schedule of OPEB Amounts by Employer</t>
  </si>
  <si>
    <t>Schedule of Deferred OPEB Amortization by Employer</t>
  </si>
  <si>
    <t>Net OPEB Liability Sensitivity by Employer - Discount Rate</t>
  </si>
  <si>
    <t>OPEB Expense (Income)</t>
  </si>
  <si>
    <t>Total Employer OPEB Expense (Income)</t>
  </si>
  <si>
    <t>Proportionate Share of Plan OPEB Expense (Income)</t>
  </si>
  <si>
    <t>including inflation</t>
  </si>
  <si>
    <t>Remaining</t>
  </si>
  <si>
    <t>Net OPEB income</t>
  </si>
  <si>
    <t xml:space="preserve">Service cost </t>
  </si>
  <si>
    <t>as OPEB income</t>
  </si>
  <si>
    <t>Administrative expense and other changes in fiduciary net position</t>
  </si>
  <si>
    <t>ACADEMY OF TRADES AND TECHNOLOGY*</t>
  </si>
  <si>
    <t>ALBUQUERQUE COLLEGIATE</t>
  </si>
  <si>
    <t>ALBUQUERQUE METROPOLITAN ARROYO FLOOD CONTROL AUTHORITY</t>
  </si>
  <si>
    <t>ALTURA PREP</t>
  </si>
  <si>
    <t>HOZHO ACADEMY</t>
  </si>
  <si>
    <t>MID-REGION COUNCIL OF GOVERNMENTS</t>
  </si>
  <si>
    <t>SOLARE COLLEGIATE CHARTER</t>
  </si>
  <si>
    <t>STUDENT ATHLETE HEADQUARTERS ACADEMY*</t>
  </si>
  <si>
    <t>NEW MEXICO VIRTUAL ACADEMY*</t>
  </si>
  <si>
    <t>LA RESOLANA LEADERSHIP ACADEMY*</t>
  </si>
  <si>
    <t>CARINOS CHARTER SCHOOL*</t>
  </si>
  <si>
    <t>ANTHONY CHARTER SCHOOL*</t>
  </si>
  <si>
    <t>(21)</t>
  </si>
  <si>
    <t>(22)</t>
  </si>
  <si>
    <t>(24)</t>
  </si>
  <si>
    <t>Valuation date</t>
  </si>
  <si>
    <t>RAICES DEL SABER XINACHTLI COMMUNITY SCHOOL</t>
  </si>
  <si>
    <t>Expensed</t>
  </si>
  <si>
    <t>Deferred in Current Year</t>
  </si>
  <si>
    <t>Fiscal Year Ending 2025</t>
  </si>
  <si>
    <t>(25)</t>
  </si>
  <si>
    <t>Total deferred outflows of resources</t>
  </si>
  <si>
    <t xml:space="preserve">ALBUQUERQUE INSTITUTE FOR MATHEMATICS AND SCIENCE </t>
  </si>
  <si>
    <t>TAOS INTERNATIONAL SCHOOL</t>
  </si>
  <si>
    <t>ACES TECHNICAL CHARTER SCHOOL</t>
  </si>
  <si>
    <t>ALBUQUERQUE BILINGUAL ACADEMY</t>
  </si>
  <si>
    <t>LAS CRUCES PUBLIC SCHOOLS</t>
  </si>
  <si>
    <t>MARK ARMIJO ACADEMY</t>
  </si>
  <si>
    <t>SANDOVAL COUNTY</t>
  </si>
  <si>
    <t>SANTA FE SOLID WASTE MANAGEMENT AGENCY</t>
  </si>
  <si>
    <t xml:space="preserve">SIERRA COUNTY </t>
  </si>
  <si>
    <t>VOZ COLLEGIATE PREP</t>
  </si>
  <si>
    <t>LINDRITH AREA HERITAGE SCHOOL*</t>
  </si>
  <si>
    <t>Fiscal Year Ending 2026</t>
  </si>
  <si>
    <t>2.30% for ERB members; 2.50% for PERA members</t>
  </si>
  <si>
    <t xml:space="preserve">7.00%, net of OPEB plan investment expense </t>
  </si>
  <si>
    <t xml:space="preserve">ERB members: 2020 GRS Southwest Region Teacher 
</t>
  </si>
  <si>
    <t>projected generationally with Scale MP-2017 times 60%.</t>
  </si>
  <si>
    <t xml:space="preserve">PERA members: Headcount-Weighted RP-2014 Blue Collar </t>
  </si>
  <si>
    <t>Annuitant Mortality, set forward one year for females,</t>
  </si>
  <si>
    <t>Mortality Table, set back one year (and scaled at 95% for</t>
  </si>
  <si>
    <t>Recognition of beginning of year deferred outflows of resources</t>
  </si>
  <si>
    <t>Schedules</t>
  </si>
  <si>
    <t>males). Generational mortality improvements in accordance</t>
  </si>
  <si>
    <t>with the Ultimate MP scales are projected from the year 2020.</t>
  </si>
  <si>
    <t>(26)</t>
  </si>
  <si>
    <t xml:space="preserve">Difference between actual and projected </t>
  </si>
  <si>
    <t>Current Trend Rates</t>
  </si>
  <si>
    <t>(23)</t>
  </si>
  <si>
    <t>Employer Year 2023</t>
  </si>
  <si>
    <t xml:space="preserve">THRIVE COMMUNITY SCHOOL </t>
  </si>
  <si>
    <t>RIO GRANDE ACADEMY OF FINE ARTS</t>
  </si>
  <si>
    <t>EXPLORE LAS CRUCES</t>
  </si>
  <si>
    <t xml:space="preserve">ALBUQUERQUE INSTITUTE FOR MATHMATICS AND SCIENCE </t>
  </si>
  <si>
    <t>def outflows py</t>
  </si>
  <si>
    <t>THRIVE COMMUNITY SCHOOL</t>
  </si>
  <si>
    <t>Fiscal Year Ending 2027</t>
  </si>
  <si>
    <t>Plan membership</t>
  </si>
  <si>
    <t>Current retirees and surviving spouses</t>
  </si>
  <si>
    <t>Inactive and eligible for deferred benefit</t>
  </si>
  <si>
    <t>Current active members</t>
  </si>
  <si>
    <t>Active membership</t>
  </si>
  <si>
    <t>State general</t>
  </si>
  <si>
    <t>State police and corrections</t>
  </si>
  <si>
    <t>Municipal general</t>
  </si>
  <si>
    <t>Municipal police</t>
  </si>
  <si>
    <t>Municipal FTRE</t>
  </si>
  <si>
    <t>Educational Retirement Board</t>
  </si>
  <si>
    <t>Net OPEB Liability Sensitivity by Employer - Trend Rate</t>
  </si>
  <si>
    <t>Fiscal Year Ending 2028</t>
  </si>
  <si>
    <t>June 30, 2023</t>
  </si>
  <si>
    <t>Employer Allocation Percentage 2023</t>
  </si>
  <si>
    <t>A-150, pg 15</t>
  </si>
  <si>
    <t xml:space="preserve">NORTHERN REGIONAL HOUSING AUTHORITY </t>
  </si>
  <si>
    <t>2023 Employer Contributions</t>
  </si>
  <si>
    <t>For the Year Ended June 30, 2023</t>
  </si>
  <si>
    <t xml:space="preserve">3.00% to 13.00%, based on years of service, </t>
  </si>
  <si>
    <t>8.00% graded down to 4.50% over 14 years for Non-</t>
  </si>
  <si>
    <t>to 4.50% over 16 years for Medicare medical plan costs</t>
  </si>
  <si>
    <t>Medicare medical plan costs and 8.50% graded down</t>
  </si>
  <si>
    <t>the total OPEB liability ("funded status")</t>
  </si>
  <si>
    <t>Employer Year 2024</t>
  </si>
  <si>
    <t>Expense in 2025</t>
  </si>
  <si>
    <t>Deferred Amounts - 2025</t>
  </si>
  <si>
    <t>Code</t>
  </si>
  <si>
    <t>Employers</t>
  </si>
  <si>
    <t>Employer Contributions</t>
  </si>
  <si>
    <t>ALBUQUERQUE AVIATION ACADEMY</t>
  </si>
  <si>
    <t>EXPLORE ACADEMY RIO RANCHO</t>
  </si>
  <si>
    <t>SOUTHEAST NEW MEXICO COLLEGE SENMC</t>
  </si>
  <si>
    <t>TAOS SOIL AND WATER CONSERVATION DIST</t>
  </si>
  <si>
    <t>TAOS SOIL AND WATER CONVERVATION DISTRICT</t>
  </si>
  <si>
    <t>CHECK THIS OUT BEFORE PRINTING</t>
  </si>
  <si>
    <t>Net OPEB Liability
June 30, 2024</t>
  </si>
  <si>
    <t>As of and for the Year Ended June 30, 2024</t>
  </si>
  <si>
    <t>For the Year Ended June 30, 2024</t>
  </si>
  <si>
    <t>LA TIERRA MONTESSORI SCHOOL*</t>
  </si>
  <si>
    <t>**** Zero Share in 2019</t>
  </si>
  <si>
    <t>*** Zero Share in 2021</t>
  </si>
  <si>
    <t>** Zero Share in 2022</t>
  </si>
  <si>
    <t>*  Zero Share in 2024</t>
  </si>
  <si>
    <t>ACADEMY OF TRADES AND TECHNOLOGY ****</t>
  </si>
  <si>
    <t>ANTHONY CHARTER SCHOOL ****</t>
  </si>
  <si>
    <t>CARINOS CHARTER SCHOOL ****</t>
  </si>
  <si>
    <t>LA RESOLANA LEADERSHIP ACADEMY ****</t>
  </si>
  <si>
    <t>NEW MEXICO VIRTUAL ACADEMY ****</t>
  </si>
  <si>
    <t>STUDENT ATHLETE HEADQUARTERS ACADEMY ****</t>
  </si>
  <si>
    <t>LINDRITH AREA HERITAGE SCHOOL***</t>
  </si>
  <si>
    <t>RATON HOUSING AUTHORITY **</t>
  </si>
  <si>
    <t>June 30, 2024</t>
  </si>
  <si>
    <t>Fiscal Year Ending 2029</t>
  </si>
  <si>
    <t>* Zero Share in 2024</t>
  </si>
  <si>
    <t>LA TIERRA MONTESSORI SCHOOL *</t>
  </si>
  <si>
    <t>Current Discount Rate (7.00%)</t>
  </si>
  <si>
    <t>1-Percent Decrease (6.00%)</t>
  </si>
  <si>
    <t>1-Percent Increase 
(8.00%)</t>
  </si>
  <si>
    <t>Employer Allocation Percentage 2024</t>
  </si>
  <si>
    <t>Real return</t>
  </si>
  <si>
    <t>Non-U.S. emerging markets</t>
  </si>
  <si>
    <t>Non-U.S. developed equities</t>
  </si>
  <si>
    <t>(7.00%)</t>
  </si>
  <si>
    <t>(6.00%)</t>
  </si>
  <si>
    <t>(8.00%)</t>
  </si>
  <si>
    <t>Current-period benefit changes</t>
  </si>
  <si>
    <t>2024 Employer Contributions</t>
  </si>
  <si>
    <t>Please enter information in the blue boxes below.</t>
  </si>
  <si>
    <t>Employer Number</t>
  </si>
  <si>
    <t>Employer Name</t>
  </si>
  <si>
    <t>1. Please input the employer number</t>
  </si>
  <si>
    <t>Contributions</t>
  </si>
  <si>
    <t>Employer's General Ledger</t>
  </si>
  <si>
    <t>Covered payroll</t>
  </si>
  <si>
    <t>Employer's General Ledger for payroll of the employees</t>
  </si>
  <si>
    <t>Employer's Prior Year Financial Statements</t>
  </si>
  <si>
    <t>Employer Amounts</t>
  </si>
  <si>
    <t>Amount</t>
  </si>
  <si>
    <t>Reference</t>
  </si>
  <si>
    <t>Schedule of Employer Allocation</t>
  </si>
  <si>
    <t>Total OPEB Expense (Income)</t>
  </si>
  <si>
    <t>Ending Net OPEB Liability</t>
  </si>
  <si>
    <t>4. Record the net change Net OPEB Liability (Debit = positive amounts):</t>
  </si>
  <si>
    <t>Net OPEB Liability</t>
  </si>
  <si>
    <t>Rounding Impact to OPEB Expense (Income)</t>
  </si>
  <si>
    <t xml:space="preserve">Note: this is the rounding impact and </t>
  </si>
  <si>
    <t xml:space="preserve">difference between NMRHCA contributions </t>
  </si>
  <si>
    <t>and Employer's contributions</t>
  </si>
  <si>
    <t>5. Record current year contributions to Deferred Outflows:</t>
  </si>
  <si>
    <t>RHCA Contributions Expense</t>
  </si>
  <si>
    <t>6. The information below might be useful for footnote disclosures.</t>
  </si>
  <si>
    <t>Discount Rate Sensitivity Analysis</t>
  </si>
  <si>
    <t>Trend Rate Sensitivity Analysis</t>
  </si>
  <si>
    <t>Current Discount Rate</t>
  </si>
  <si>
    <t>Balances of Deferred Amounts</t>
  </si>
  <si>
    <t xml:space="preserve">Differences Between Expected and </t>
  </si>
  <si>
    <t>Actual Experience</t>
  </si>
  <si>
    <t xml:space="preserve">Net Difference Between Projected and </t>
  </si>
  <si>
    <t>Actual Investment Earnings on OPEB</t>
  </si>
  <si>
    <t>Plan Investments</t>
  </si>
  <si>
    <t>Change in Proportion</t>
  </si>
  <si>
    <t>Contributions made after the</t>
  </si>
  <si>
    <t>measurement date</t>
  </si>
  <si>
    <t>Year</t>
  </si>
  <si>
    <t>Amortization of Deferred Amounts by Employer</t>
  </si>
  <si>
    <t>Required Supplementary Information</t>
  </si>
  <si>
    <t>SCHEDULE OF EMPLOYER'S PROPORTIONATE SHARE OF THE NET OPEB LIABILITY</t>
  </si>
  <si>
    <t>Employer's proportion of the net OPEB</t>
  </si>
  <si>
    <t>liability</t>
  </si>
  <si>
    <t>Employer's proportionate share of the</t>
  </si>
  <si>
    <t xml:space="preserve"> net OPEB liability</t>
  </si>
  <si>
    <t>Employer covered payroll</t>
  </si>
  <si>
    <t>multiplied by Employer's proportion</t>
  </si>
  <si>
    <t xml:space="preserve">Employer's proportionate share of the </t>
  </si>
  <si>
    <t>net OPEB liability as a percentage of</t>
  </si>
  <si>
    <t>its covered payroll</t>
  </si>
  <si>
    <t>Calculation</t>
  </si>
  <si>
    <t>Plan fiduciary net position as a</t>
  </si>
  <si>
    <t>percentage of the total OPEB</t>
  </si>
  <si>
    <t>NMRHCA Audited FS page 33</t>
  </si>
  <si>
    <t>SCHEDULE OF EMPLOYER'S CONTRIBUTIONS</t>
  </si>
  <si>
    <t>Contractually required contribution</t>
  </si>
  <si>
    <t>Contributions in relation to the</t>
  </si>
  <si>
    <t>contractually required contribution</t>
  </si>
  <si>
    <t>Contribution deficiency (excess)</t>
  </si>
  <si>
    <t>Employer's covered payroll</t>
  </si>
  <si>
    <t>of employees that are provided with OPEB through NMRHCA's OPEB plan.</t>
  </si>
  <si>
    <t>Contributions as a percentage of</t>
  </si>
  <si>
    <t>covered payroll</t>
  </si>
  <si>
    <t>2. Please enter the contributions expensed from July 1, 2024 to June 30, 2025:</t>
  </si>
  <si>
    <t xml:space="preserve">   that are provided with OPEB through NMRHCA</t>
  </si>
  <si>
    <t>3. Please enter the contributions deferred from July 1, 2023 to June 30, 2024 (Deferred Outflow):</t>
  </si>
  <si>
    <t>2024 Employer Allocation %</t>
  </si>
  <si>
    <t>As of and for the Year Ended June 30, 2023</t>
  </si>
  <si>
    <t>Net OPEB Liability
June 30, 2023</t>
  </si>
  <si>
    <t>RATON HOUSING AUTHORITY *</t>
  </si>
  <si>
    <t>LINDRITH AREA HERITAGE SCHOOL**</t>
  </si>
  <si>
    <t>STUDENT ATHLETE HEADQUARTERS ACADEMY ***</t>
  </si>
  <si>
    <t>NEW MEXICO VIRTUAL ACADEMY ***</t>
  </si>
  <si>
    <t>LA RESOLANA LEADERSHIP ACADEMY ***</t>
  </si>
  <si>
    <t>CARINOS CHARTER SCHOOL ***</t>
  </si>
  <si>
    <t>ANTHONY CHARTER SCHOOL ***</t>
  </si>
  <si>
    <t>ACADEMY OF TRADES AND TECHNOLOGY ***</t>
  </si>
  <si>
    <t>SAGE MONTESSORI CHARTER SCHOOL ****</t>
  </si>
  <si>
    <t>SOUTHWEST INTERMEDIATE LEARNING CENTER ****</t>
  </si>
  <si>
    <t>UPLIFT COMMUNITY SCHOOL ****</t>
  </si>
  <si>
    <t>* Zero Share in 2022</t>
  </si>
  <si>
    <t>** Zero Share in 2021</t>
  </si>
  <si>
    <t>*** Zero Share in 2019</t>
  </si>
  <si>
    <t>**** Zero Share in 2018</t>
  </si>
  <si>
    <t>1-Percent Increase (8.00%)</t>
  </si>
  <si>
    <t>Covered payroll disclosed in audited FS ($5,609,136,993 page 32 )</t>
  </si>
  <si>
    <t xml:space="preserve">Covered payroll for the fiscal year ended June 30, 2025 in other words the payroll </t>
  </si>
  <si>
    <t>3010E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</si>
</sst>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"/>
    <numFmt numFmtId="166" formatCode="0.00000%"/>
    <numFmt numFmtId="167" formatCode="_(* #,##0_);_(* \(#,##0\);_(* &quot;-&quot;??_);_(@_)"/>
    <numFmt numFmtId="168" formatCode="\(#\);\(#\);;"/>
    <numFmt numFmtId="169" formatCode="0_);\(0\)"/>
    <numFmt numFmtId="170" formatCode="0.000000%"/>
    <numFmt numFmtId="171" formatCode="0.0000000%"/>
    <numFmt numFmtId="172" formatCode="0.00000000%"/>
    <numFmt numFmtId="173" formatCode="0.000000000%"/>
    <numFmt numFmtId="174" formatCode="0.0%"/>
    <numFmt numFmtId="175" formatCode="0.0000%"/>
    <numFmt numFmtId="176" formatCode="_(&quot;$&quot;* #,##0_);_(&quot;$&quot;* \(#,##0\);_(&quot;$&quot;* &quot;-&quot;??_);_(@_)"/>
    <numFmt numFmtId="177" formatCode="General_)"/>
    <numFmt numFmtId="178" formatCode="mmmm\ d\,\ yyyy"/>
    <numFmt numFmtId="179" formatCode="_(* #,##0.00&quot;%&quot;;_(* \(#,##0.00&quot;%&quot;\);_(* &quot;--%&quot;_);_(@_)"/>
    <numFmt numFmtId="180" formatCode="_(* #,##0.00_%;_(* \(#,##0.00\)__;_(* &quot;--&quot;_%;_(@_)"/>
    <numFmt numFmtId="181" formatCode="_(* #,##0_);_(* \(#,##0\);_(* &quot;--&quot;_);_(@_)"/>
    <numFmt numFmtId="182" formatCode="_(* #,##0.00&quot;%&quot;;_(* \(#,##0.00\)%;_(* &quot;-&quot;_);_(@_)"/>
    <numFmt numFmtId="183" formatCode="#.00"/>
    <numFmt numFmtId="184" formatCode="#,##0."/>
    <numFmt numFmtId="185" formatCode="&quot;$&quot;#."/>
    <numFmt numFmtId="186" formatCode="yyyy"/>
    <numFmt numFmtId="187" formatCode="000\-00\-0000"/>
    <numFmt numFmtId="188" formatCode="#,##0_);\(#,##0\);\-"/>
    <numFmt numFmtId="189" formatCode="0;0;\-"/>
    <numFmt numFmtId="190" formatCode="_(* #,##0.00&quot;%&quot;;_(* \(#,##0.00\);_(* &quot;-&quot;_);_(@_)"/>
    <numFmt numFmtId="191" formatCode="#,###_)_%;\(#,###\)_%"/>
    <numFmt numFmtId="192" formatCode="_._.* #,##0.0_)_%;_._.* \(#,##0.0\)_%"/>
    <numFmt numFmtId="193" formatCode="_._.* #,##0.00_)_%;_._.* \(#,##0.00\)_%"/>
    <numFmt numFmtId="194" formatCode="_._.&quot;$&quot;* #,##0.00_)_%;_._.&quot;$&quot;* \(#,##0.00\)_%"/>
    <numFmt numFmtId="195" formatCode="_._._(* 0_)%;_._.* \(0\)%"/>
    <numFmt numFmtId="196" formatCode="_(0.0_)%;\(0.0\)%"/>
    <numFmt numFmtId="197" formatCode="#,##0_);\(#,##0\);;"/>
    <numFmt numFmtId="198" formatCode="_(* #,##0.00%_);[Red]_(* \(#,##0.00%\);_(0.00%_);@"/>
    <numFmt numFmtId="199" formatCode="mm/dd/yyyy"/>
    <numFmt numFmtId="200" formatCode="#,##0.00;\-#,##0.00;0.00"/>
  </numFmts>
  <fonts count="1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3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0.5"/>
      <name val="Cambria"/>
      <family val="1"/>
    </font>
    <font>
      <sz val="11"/>
      <name val="Garamon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Times New Roman"/>
      <family val="1"/>
    </font>
    <font>
      <b/>
      <sz val="16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sz val="9"/>
      <name val="CG Omega"/>
      <family val="2"/>
    </font>
    <font>
      <sz val="11"/>
      <name val="Arial Narrow"/>
      <family val="2"/>
    </font>
    <font>
      <sz val="9"/>
      <name val="Garamond"/>
      <family val="1"/>
    </font>
    <font>
      <b/>
      <sz val="11"/>
      <name val="Arial Narrow"/>
      <family val="2"/>
    </font>
    <font>
      <sz val="9"/>
      <name val="Arial Narrow"/>
      <family val="2"/>
    </font>
    <font>
      <sz val="9.5"/>
      <name val="Arial Narrow"/>
      <family val="2"/>
    </font>
    <font>
      <sz val="14"/>
      <name val="Univers Condensed"/>
      <family val="2"/>
    </font>
    <font>
      <sz val="10"/>
      <name val="Garamond"/>
      <family val="1"/>
    </font>
    <font>
      <sz val="7"/>
      <name val="Garamond"/>
      <family val="1"/>
    </font>
    <font>
      <sz val="10"/>
      <name val="CG Omega"/>
      <family val="2"/>
    </font>
    <font>
      <b/>
      <sz val="12"/>
      <name val="Garamond"/>
      <family val="1"/>
    </font>
    <font>
      <b/>
      <i/>
      <sz val="11"/>
      <name val="Garamond"/>
      <family val="1"/>
    </font>
    <font>
      <sz val="12"/>
      <name val="Univers Condensed"/>
      <family val="2"/>
    </font>
    <font>
      <b/>
      <sz val="14"/>
      <name val="Univers Condensed"/>
      <family val="2"/>
    </font>
    <font>
      <sz val="8"/>
      <name val="CG Omega"/>
      <family val="2"/>
    </font>
    <font>
      <sz val="18"/>
      <name val="Garamond"/>
      <family val="1"/>
    </font>
    <font>
      <b/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9"/>
      <name val="Franklin Gothic Medium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.5"/>
      <name val="Cambri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0.5"/>
      <color theme="1"/>
      <name val="Cambri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b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"/>
      <family val="1"/>
    </font>
    <font>
      <b/>
      <sz val="8"/>
      <color rgb="FF000000"/>
      <name val="Times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rgb="FF3F3F76"/>
      <name val="Calibri"/>
      <family val="2"/>
    </font>
    <font>
      <sz val="11"/>
      <color rgb="FF0061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C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1"/>
      <name val="Cambria"/>
      <family val="1"/>
    </font>
  </fonts>
  <fills count="7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C0C0C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6">
    <xf numFmtId="0" fontId="0" fillId="0" borderId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76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76" fillId="4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76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76" fillId="46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76" fillId="47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76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6" fillId="49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76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6" fillId="5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76" fillId="52" borderId="0" applyNumberFormat="0" applyBorder="0" applyAlignment="0" applyProtection="0"/>
    <xf numFmtId="0" fontId="5" fillId="19" borderId="0" applyNumberFormat="0" applyBorder="0" applyAlignment="0" applyProtection="0"/>
    <xf numFmtId="0" fontId="76" fillId="5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40" fontId="67" fillId="0" borderId="1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198" fontId="67" fillId="0" borderId="1">
      <alignment horizontal="right"/>
    </xf>
    <xf numFmtId="40" fontId="67" fillId="0" borderId="0">
      <alignment horizontal="right"/>
    </xf>
    <xf numFmtId="40" fontId="2" fillId="0" borderId="0">
      <alignment horizontal="right"/>
    </xf>
    <xf numFmtId="40" fontId="77" fillId="0" borderId="0">
      <alignment horizontal="right"/>
    </xf>
    <xf numFmtId="0" fontId="2" fillId="0" borderId="0">
      <alignment horizontal="left"/>
    </xf>
    <xf numFmtId="40" fontId="2" fillId="0" borderId="0"/>
    <xf numFmtId="0" fontId="2" fillId="0" borderId="0">
      <alignment horizontal="left"/>
    </xf>
    <xf numFmtId="0" fontId="2" fillId="0" borderId="0">
      <protection locked="0"/>
    </xf>
    <xf numFmtId="198" fontId="2" fillId="0" borderId="0">
      <alignment horizontal="right"/>
    </xf>
    <xf numFmtId="0" fontId="2" fillId="0" borderId="0"/>
    <xf numFmtId="40" fontId="68" fillId="27" borderId="0">
      <alignment horizontal="right" vertical="center"/>
    </xf>
    <xf numFmtId="40" fontId="68" fillId="27" borderId="0">
      <alignment horizontal="left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0" fontId="68" fillId="27" borderId="0">
      <alignment horizontal="right" vertical="center"/>
      <protection locked="0"/>
    </xf>
    <xf numFmtId="40" fontId="68" fillId="27" borderId="0">
      <alignment horizontal="right" vertical="center"/>
    </xf>
    <xf numFmtId="40" fontId="68" fillId="27" borderId="0">
      <alignment horizontal="right"/>
    </xf>
    <xf numFmtId="40" fontId="68" fillId="27" borderId="0">
      <alignment horizontal="center" vertical="center"/>
    </xf>
    <xf numFmtId="40" fontId="2" fillId="0" borderId="0"/>
    <xf numFmtId="0" fontId="2" fillId="0" borderId="0">
      <alignment horizontal="left"/>
    </xf>
    <xf numFmtId="40" fontId="2" fillId="0" borderId="0"/>
    <xf numFmtId="40" fontId="2" fillId="0" borderId="0">
      <alignment horizontal="center" vertical="center"/>
    </xf>
    <xf numFmtId="0" fontId="2" fillId="0" borderId="0"/>
    <xf numFmtId="198" fontId="2" fillId="0" borderId="0">
      <alignment horizontal="right"/>
    </xf>
    <xf numFmtId="40" fontId="2" fillId="0" borderId="0"/>
    <xf numFmtId="40" fontId="68" fillId="27" borderId="0">
      <alignment horizontal="center" vertical="center"/>
    </xf>
    <xf numFmtId="40" fontId="68" fillId="27" borderId="0">
      <alignment horizontal="center" vertical="center"/>
    </xf>
    <xf numFmtId="198" fontId="68" fillId="27" borderId="0">
      <alignment horizontal="center" vertical="center"/>
    </xf>
    <xf numFmtId="40" fontId="68" fillId="27" borderId="0">
      <alignment horizontal="right"/>
    </xf>
    <xf numFmtId="40" fontId="67" fillId="0" borderId="2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198" fontId="67" fillId="0" borderId="2">
      <alignment horizontal="right"/>
    </xf>
    <xf numFmtId="40" fontId="67" fillId="0" borderId="0">
      <alignment horizontal="right"/>
    </xf>
    <xf numFmtId="41" fontId="24" fillId="0" borderId="0"/>
    <xf numFmtId="9" fontId="24" fillId="0" borderId="0">
      <alignment horizontal="center"/>
    </xf>
    <xf numFmtId="0" fontId="78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40" fontId="2" fillId="0" borderId="0"/>
    <xf numFmtId="40" fontId="2" fillId="0" borderId="0"/>
    <xf numFmtId="0" fontId="79" fillId="55" borderId="20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44" fontId="3" fillId="0" borderId="0" applyFill="0" applyBorder="0" applyProtection="0"/>
    <xf numFmtId="0" fontId="38" fillId="0" borderId="0" applyFill="0" applyBorder="0" applyProtection="0">
      <alignment horizontal="right" wrapText="1"/>
    </xf>
    <xf numFmtId="0" fontId="37" fillId="0" borderId="0" applyNumberFormat="0" applyFill="0" applyBorder="0" applyProtection="0"/>
    <xf numFmtId="43" fontId="3" fillId="0" borderId="0" applyFill="0" applyBorder="0" applyProtection="0"/>
    <xf numFmtId="178" fontId="39" fillId="0" borderId="0" applyFill="0" applyBorder="0" applyProtection="0">
      <alignment horizontal="left"/>
    </xf>
    <xf numFmtId="178" fontId="39" fillId="0" borderId="0" applyNumberFormat="0" applyFill="0" applyBorder="0" applyProtection="0">
      <alignment horizontal="left"/>
    </xf>
    <xf numFmtId="178" fontId="36" fillId="0" borderId="0" applyFill="0" applyBorder="0" applyProtection="0">
      <alignment horizontal="left"/>
    </xf>
    <xf numFmtId="0" fontId="61" fillId="0" borderId="0" applyFill="0" applyBorder="0" applyProtection="0">
      <alignment horizontal="center"/>
    </xf>
    <xf numFmtId="0" fontId="80" fillId="56" borderId="21" applyNumberFormat="0" applyAlignment="0" applyProtection="0"/>
    <xf numFmtId="0" fontId="8" fillId="25" borderId="4" applyNumberFormat="0" applyAlignment="0" applyProtection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5">
      <alignment horizontal="right"/>
    </xf>
    <xf numFmtId="40" fontId="67" fillId="0" borderId="0">
      <alignment horizontal="right"/>
    </xf>
    <xf numFmtId="41" fontId="24" fillId="0" borderId="0">
      <alignment horizontal="centerContinuous"/>
    </xf>
    <xf numFmtId="41" fontId="24" fillId="0" borderId="0">
      <alignment horizontal="center"/>
    </xf>
    <xf numFmtId="41" fontId="24" fillId="0" borderId="1">
      <alignment horizontal="centerContinuous"/>
    </xf>
    <xf numFmtId="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2" fillId="0" borderId="0"/>
    <xf numFmtId="40" fontId="2" fillId="0" borderId="0"/>
    <xf numFmtId="40" fontId="2" fillId="0" borderId="0"/>
    <xf numFmtId="40" fontId="2" fillId="0" borderId="0"/>
    <xf numFmtId="40" fontId="2" fillId="0" borderId="0">
      <protection locked="0"/>
    </xf>
    <xf numFmtId="40" fontId="2" fillId="0" borderId="0"/>
    <xf numFmtId="40" fontId="2" fillId="0" borderId="0"/>
    <xf numFmtId="43" fontId="75" fillId="0" borderId="0" applyFont="0" applyFill="0" applyBorder="0" applyAlignment="0" applyProtection="0"/>
    <xf numFmtId="191" fontId="23" fillId="0" borderId="0" applyFont="0" applyFill="0" applyBorder="0" applyAlignment="0" applyProtection="0">
      <protection locked="0"/>
    </xf>
    <xf numFmtId="192" fontId="23" fillId="0" borderId="0" applyFont="0" applyFill="0" applyBorder="0" applyAlignment="0" applyProtection="0"/>
    <xf numFmtId="19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4" fontId="26" fillId="0" borderId="0">
      <protection locked="0"/>
    </xf>
    <xf numFmtId="3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 applyFill="0" applyBorder="0" applyAlignment="0" applyProtection="0">
      <protection locked="0"/>
    </xf>
    <xf numFmtId="44" fontId="75" fillId="0" borderId="0" applyFont="0" applyFill="0" applyBorder="0" applyAlignment="0" applyProtection="0"/>
    <xf numFmtId="19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26" fillId="0" borderId="0">
      <protection locked="0"/>
    </xf>
    <xf numFmtId="5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6" fillId="0" borderId="0">
      <protection locked="0"/>
    </xf>
    <xf numFmtId="14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3" fontId="26" fillId="0" borderId="0">
      <protection locked="0"/>
    </xf>
    <xf numFmtId="2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77" fontId="2" fillId="0" borderId="0"/>
    <xf numFmtId="0" fontId="67" fillId="57" borderId="0">
      <alignment horizontal="center" vertical="center"/>
    </xf>
    <xf numFmtId="40" fontId="67" fillId="57" borderId="0">
      <alignment horizontal="center" vertical="center"/>
    </xf>
    <xf numFmtId="40" fontId="67" fillId="57" borderId="0">
      <alignment horizontal="center" vertical="center"/>
    </xf>
    <xf numFmtId="0" fontId="67" fillId="57" borderId="0">
      <alignment horizontal="left" vertical="center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89" fillId="58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90" fillId="58" borderId="0" applyNumberFormat="0" applyBorder="0" applyAlignment="0" applyProtection="0"/>
    <xf numFmtId="40" fontId="67" fillId="0" borderId="0">
      <alignment horizontal="right"/>
    </xf>
    <xf numFmtId="40" fontId="68" fillId="27" borderId="0"/>
    <xf numFmtId="40" fontId="68" fillId="27" borderId="0"/>
    <xf numFmtId="40" fontId="2" fillId="0" borderId="0"/>
    <xf numFmtId="0" fontId="20" fillId="0" borderId="0">
      <alignment horizontal="centerContinuous"/>
    </xf>
    <xf numFmtId="0" fontId="91" fillId="0" borderId="22" applyNumberFormat="0" applyFill="0" applyAlignment="0" applyProtection="0"/>
    <xf numFmtId="0" fontId="27" fillId="0" borderId="0">
      <protection locked="0"/>
    </xf>
    <xf numFmtId="0" fontId="57" fillId="0" borderId="6" applyNumberFormat="0" applyFill="0" applyAlignment="0" applyProtection="0"/>
    <xf numFmtId="0" fontId="51" fillId="0" borderId="0"/>
    <xf numFmtId="0" fontId="57" fillId="0" borderId="6" applyNumberFormat="0" applyFill="0" applyAlignment="0" applyProtection="0"/>
    <xf numFmtId="0" fontId="51" fillId="0" borderId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92" fillId="0" borderId="23" applyNumberFormat="0" applyFill="0" applyAlignment="0" applyProtection="0"/>
    <xf numFmtId="0" fontId="26" fillId="0" borderId="0">
      <protection locked="0"/>
    </xf>
    <xf numFmtId="0" fontId="58" fillId="0" borderId="7" applyNumberFormat="0" applyFill="0" applyAlignment="0" applyProtection="0"/>
    <xf numFmtId="0" fontId="52" fillId="0" borderId="0"/>
    <xf numFmtId="0" fontId="58" fillId="0" borderId="7" applyNumberFormat="0" applyFill="0" applyAlignment="0" applyProtection="0"/>
    <xf numFmtId="0" fontId="52" fillId="0" borderId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59" borderId="20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22" fillId="60" borderId="0">
      <alignment horizontal="left" vertical="top" wrapText="1"/>
    </xf>
    <xf numFmtId="40" fontId="22" fillId="0" borderId="0"/>
    <xf numFmtId="40" fontId="22" fillId="0" borderId="0"/>
    <xf numFmtId="0" fontId="22" fillId="0" borderId="0">
      <alignment horizontal="left"/>
    </xf>
    <xf numFmtId="0" fontId="22" fillId="0" borderId="0">
      <alignment horizontal="center"/>
    </xf>
    <xf numFmtId="0" fontId="69" fillId="0" borderId="0">
      <alignment horizontal="center"/>
      <protection locked="0"/>
    </xf>
    <xf numFmtId="0" fontId="69" fillId="0" borderId="0">
      <alignment horizontal="center"/>
    </xf>
    <xf numFmtId="0" fontId="67" fillId="28" borderId="0">
      <alignment horizontal="left"/>
    </xf>
    <xf numFmtId="0" fontId="67" fillId="28" borderId="0">
      <alignment horizontal="center"/>
    </xf>
    <xf numFmtId="0" fontId="70" fillId="27" borderId="0">
      <alignment horizontal="left"/>
    </xf>
    <xf numFmtId="0" fontId="70" fillId="27" borderId="0">
      <alignment horizontal="left"/>
    </xf>
    <xf numFmtId="0" fontId="69" fillId="0" borderId="0">
      <alignment horizontal="center"/>
      <protection locked="0"/>
    </xf>
    <xf numFmtId="0" fontId="69" fillId="0" borderId="0">
      <alignment horizontal="center"/>
    </xf>
    <xf numFmtId="40" fontId="71" fillId="0" borderId="10"/>
    <xf numFmtId="40" fontId="71" fillId="0" borderId="10"/>
    <xf numFmtId="0" fontId="71" fillId="0" borderId="0"/>
    <xf numFmtId="0" fontId="71" fillId="0" borderId="0"/>
    <xf numFmtId="0" fontId="69" fillId="0" borderId="0">
      <alignment horizontal="center"/>
      <protection locked="0"/>
    </xf>
    <xf numFmtId="0" fontId="69" fillId="0" borderId="0">
      <alignment horizontal="center"/>
    </xf>
    <xf numFmtId="0" fontId="97" fillId="61" borderId="0">
      <alignment horizontal="left"/>
    </xf>
    <xf numFmtId="0" fontId="97" fillId="61" borderId="0">
      <alignment horizontal="left"/>
    </xf>
    <xf numFmtId="0" fontId="98" fillId="0" borderId="25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9" fillId="0" borderId="0"/>
    <xf numFmtId="0" fontId="2" fillId="0" borderId="0"/>
    <xf numFmtId="0" fontId="40" fillId="0" borderId="0" applyNumberFormat="0" applyFill="0" applyBorder="0" applyProtection="0"/>
    <xf numFmtId="40" fontId="67" fillId="0" borderId="2">
      <alignment horizontal="right"/>
    </xf>
    <xf numFmtId="0" fontId="99" fillId="0" borderId="0">
      <alignment horizontal="left"/>
    </xf>
    <xf numFmtId="40" fontId="2" fillId="0" borderId="0"/>
    <xf numFmtId="0" fontId="99" fillId="0" borderId="0">
      <alignment horizontal="left"/>
    </xf>
    <xf numFmtId="0" fontId="67" fillId="0" borderId="0" applyBorder="0">
      <alignment horizontal="right"/>
      <protection locked="0"/>
    </xf>
    <xf numFmtId="198" fontId="67" fillId="0" borderId="2">
      <alignment horizontal="right"/>
    </xf>
    <xf numFmtId="40" fontId="67" fillId="0" borderId="0" applyBorder="0">
      <alignment horizontal="right"/>
    </xf>
    <xf numFmtId="0" fontId="100" fillId="62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0" borderId="0" applyNumberFormat="0" applyFill="0" applyBorder="0" applyProtection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1" fillId="0" borderId="0"/>
    <xf numFmtId="0" fontId="2" fillId="0" borderId="0">
      <alignment vertical="top"/>
    </xf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1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8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8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18" fillId="0" borderId="0"/>
    <xf numFmtId="0" fontId="21" fillId="0" borderId="0"/>
    <xf numFmtId="0" fontId="18" fillId="0" borderId="0"/>
    <xf numFmtId="0" fontId="2" fillId="0" borderId="0">
      <alignment vertical="top"/>
    </xf>
    <xf numFmtId="0" fontId="18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6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86" fillId="0" borderId="0"/>
    <xf numFmtId="0" fontId="56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2" fillId="0" borderId="0"/>
    <xf numFmtId="0" fontId="18" fillId="0" borderId="0"/>
    <xf numFmtId="0" fontId="56" fillId="0" borderId="0"/>
    <xf numFmtId="0" fontId="2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181" fontId="21" fillId="0" borderId="0"/>
    <xf numFmtId="0" fontId="2" fillId="0" borderId="0"/>
    <xf numFmtId="0" fontId="81" fillId="0" borderId="0"/>
    <xf numFmtId="0" fontId="2" fillId="0" borderId="0"/>
    <xf numFmtId="0" fontId="56" fillId="0" borderId="0"/>
    <xf numFmtId="0" fontId="2" fillId="0" borderId="0"/>
    <xf numFmtId="181" fontId="18" fillId="0" borderId="0"/>
    <xf numFmtId="0" fontId="21" fillId="0" borderId="0"/>
    <xf numFmtId="0" fontId="56" fillId="0" borderId="0"/>
    <xf numFmtId="0" fontId="81" fillId="0" borderId="0"/>
    <xf numFmtId="0" fontId="81" fillId="0" borderId="0"/>
    <xf numFmtId="0" fontId="75" fillId="0" borderId="0"/>
    <xf numFmtId="0" fontId="75" fillId="0" borderId="0"/>
    <xf numFmtId="0" fontId="18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75" fillId="0" borderId="0"/>
    <xf numFmtId="0" fontId="28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4" fillId="0" borderId="0"/>
    <xf numFmtId="0" fontId="14" fillId="0" borderId="0"/>
    <xf numFmtId="0" fontId="2" fillId="0" borderId="0"/>
    <xf numFmtId="0" fontId="28" fillId="0" borderId="0"/>
    <xf numFmtId="200" fontId="82" fillId="0" borderId="0"/>
    <xf numFmtId="0" fontId="14" fillId="0" borderId="0"/>
    <xf numFmtId="0" fontId="56" fillId="0" borderId="0"/>
    <xf numFmtId="0" fontId="28" fillId="0" borderId="0"/>
    <xf numFmtId="0" fontId="10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/>
    <xf numFmtId="0" fontId="56" fillId="0" borderId="0"/>
    <xf numFmtId="0" fontId="21" fillId="0" borderId="0"/>
    <xf numFmtId="0" fontId="18" fillId="0" borderId="0"/>
    <xf numFmtId="0" fontId="64" fillId="0" borderId="0"/>
    <xf numFmtId="0" fontId="8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83" fillId="0" borderId="0"/>
    <xf numFmtId="0" fontId="84" fillId="0" borderId="0"/>
    <xf numFmtId="0" fontId="102" fillId="0" borderId="0"/>
    <xf numFmtId="0" fontId="2" fillId="0" borderId="0"/>
    <xf numFmtId="0" fontId="74" fillId="0" borderId="0"/>
    <xf numFmtId="0" fontId="14" fillId="0" borderId="0"/>
    <xf numFmtId="0" fontId="2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14" fillId="0" borderId="0"/>
    <xf numFmtId="0" fontId="2" fillId="0" borderId="0"/>
    <xf numFmtId="0" fontId="2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03" fillId="0" borderId="0"/>
    <xf numFmtId="0" fontId="85" fillId="0" borderId="0"/>
    <xf numFmtId="0" fontId="28" fillId="0" borderId="0"/>
    <xf numFmtId="0" fontId="21" fillId="0" borderId="0"/>
    <xf numFmtId="0" fontId="75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1" fillId="0" borderId="0"/>
    <xf numFmtId="0" fontId="1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200" fontId="8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21" fillId="0" borderId="0"/>
    <xf numFmtId="0" fontId="75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84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18" fillId="0" borderId="0"/>
    <xf numFmtId="0" fontId="30" fillId="0" borderId="0" applyNumberFormat="0" applyFill="0" applyBorder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56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2" fillId="10" borderId="13" applyNumberFormat="0" applyFont="0" applyAlignment="0" applyProtection="0"/>
    <xf numFmtId="0" fontId="56" fillId="10" borderId="13" applyNumberFormat="0" applyFont="0" applyAlignment="0" applyProtection="0"/>
    <xf numFmtId="0" fontId="2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45" fillId="0" borderId="0" applyNumberFormat="0" applyFill="0" applyBorder="0" applyProtection="0"/>
    <xf numFmtId="0" fontId="37" fillId="0" borderId="0" applyNumberFormat="0" applyFill="0" applyBorder="0" applyProtection="0">
      <alignment horizontal="left"/>
    </xf>
    <xf numFmtId="178" fontId="35" fillId="0" borderId="0" applyNumberFormat="0" applyFill="0" applyBorder="0" applyProtection="0"/>
    <xf numFmtId="0" fontId="104" fillId="55" borderId="27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9" fontId="75" fillId="0" borderId="0" applyFont="0" applyFill="0" applyBorder="0" applyAlignment="0" applyProtection="0"/>
    <xf numFmtId="180" fontId="23" fillId="0" borderId="0"/>
    <xf numFmtId="179" fontId="23" fillId="0" borderId="0"/>
    <xf numFmtId="190" fontId="23" fillId="0" borderId="0"/>
    <xf numFmtId="190" fontId="23" fillId="0" borderId="0"/>
    <xf numFmtId="195" fontId="23" fillId="0" borderId="0" applyFont="0" applyFill="0" applyBorder="0" applyAlignment="0" applyProtection="0"/>
    <xf numFmtId="182" fontId="23" fillId="0" borderId="2"/>
    <xf numFmtId="196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/>
    <xf numFmtId="44" fontId="22" fillId="0" borderId="0" applyFill="0" applyBorder="0" applyProtection="0"/>
    <xf numFmtId="0" fontId="31" fillId="0" borderId="0" applyNumberFormat="0" applyFill="0" applyBorder="0" applyProtection="0"/>
    <xf numFmtId="40" fontId="72" fillId="29" borderId="0">
      <alignment horizontal="left"/>
    </xf>
    <xf numFmtId="40" fontId="72" fillId="29" borderId="0">
      <alignment horizontal="left"/>
    </xf>
    <xf numFmtId="0" fontId="73" fillId="29" borderId="0">
      <alignment horizontal="left"/>
      <protection locked="0"/>
    </xf>
    <xf numFmtId="14" fontId="73" fillId="29" borderId="0">
      <alignment horizontal="left"/>
      <protection locked="0"/>
    </xf>
    <xf numFmtId="41" fontId="22" fillId="0" borderId="0" applyFill="0" applyBorder="0" applyProtection="0"/>
    <xf numFmtId="43" fontId="22" fillId="0" borderId="0" applyFill="0" applyBorder="0" applyProtection="0"/>
    <xf numFmtId="49" fontId="35" fillId="0" borderId="0" applyFill="0" applyBorder="0" applyProtection="0"/>
    <xf numFmtId="186" fontId="35" fillId="0" borderId="0" applyFill="0" applyBorder="0" applyProtection="0">
      <alignment horizontal="center"/>
    </xf>
    <xf numFmtId="186" fontId="46" fillId="0" borderId="1" applyFill="0" applyBorder="0" applyProtection="0">
      <alignment horizontal="center" wrapText="1"/>
    </xf>
    <xf numFmtId="186" fontId="46" fillId="0" borderId="0" applyFill="0" applyBorder="0" applyProtection="0">
      <alignment horizontal="right"/>
    </xf>
    <xf numFmtId="0" fontId="35" fillId="0" borderId="0" applyNumberFormat="0" applyFill="0" applyBorder="0" applyProtection="0">
      <alignment horizontal="right" wrapText="1"/>
    </xf>
    <xf numFmtId="0" fontId="35" fillId="0" borderId="1" applyFill="0" applyBorder="0" applyProtection="0">
      <alignment wrapText="1"/>
    </xf>
    <xf numFmtId="178" fontId="35" fillId="0" borderId="0" applyNumberFormat="0" applyFill="0" applyBorder="0" applyProtection="0">
      <alignment horizontal="left"/>
    </xf>
    <xf numFmtId="178" fontId="25" fillId="0" borderId="0" applyFill="0" applyBorder="0" applyProtection="0">
      <alignment horizontal="left"/>
    </xf>
    <xf numFmtId="0" fontId="47" fillId="0" borderId="0" applyFill="0" applyBorder="0" applyProtection="0"/>
    <xf numFmtId="178" fontId="25" fillId="0" borderId="0" applyNumberFormat="0" applyFill="0" applyBorder="0" applyProtection="0">
      <alignment horizontal="left" vertical="top"/>
    </xf>
    <xf numFmtId="0" fontId="25" fillId="0" borderId="0" applyNumberFormat="0" applyFill="0" applyBorder="0" applyProtection="0">
      <alignment wrapText="1"/>
    </xf>
    <xf numFmtId="0" fontId="32" fillId="0" borderId="0" applyNumberFormat="0" applyFill="0" applyBorder="0" applyProtection="0"/>
    <xf numFmtId="186" fontId="38" fillId="0" borderId="1" applyNumberFormat="0" applyFill="0" applyBorder="0" applyProtection="0">
      <alignment horizontal="left" wrapText="1"/>
    </xf>
    <xf numFmtId="186" fontId="38" fillId="0" borderId="1" applyNumberFormat="0" applyFill="0" applyBorder="0" applyProtection="0">
      <alignment horizontal="center" wrapText="1"/>
    </xf>
    <xf numFmtId="41" fontId="48" fillId="0" borderId="0" applyFill="0" applyBorder="0" applyProtection="0"/>
    <xf numFmtId="0" fontId="38" fillId="0" borderId="0" applyNumberFormat="0" applyFill="0" applyBorder="0" applyProtection="0">
      <alignment horizontal="center" wrapText="1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"/>
    </xf>
    <xf numFmtId="189" fontId="43" fillId="0" borderId="0" applyFill="0" applyBorder="0" applyProtection="0">
      <alignment horizontal="center"/>
    </xf>
    <xf numFmtId="43" fontId="49" fillId="0" borderId="0" applyNumberFormat="0" applyFill="0" applyBorder="0" applyProtection="0"/>
    <xf numFmtId="0" fontId="38" fillId="0" borderId="1" applyNumberFormat="0" applyFill="0" applyBorder="0" applyProtection="0">
      <alignment horizontal="center"/>
    </xf>
    <xf numFmtId="1" fontId="25" fillId="0" borderId="1" applyFill="0" applyBorder="0" applyProtection="0"/>
    <xf numFmtId="188" fontId="43" fillId="0" borderId="0" applyFill="0" applyBorder="0" applyProtection="0">
      <alignment horizontal="center"/>
    </xf>
    <xf numFmtId="188" fontId="22" fillId="0" borderId="15" applyFill="0" applyBorder="0" applyProtection="0">
      <alignment horizontal="right"/>
    </xf>
    <xf numFmtId="187" fontId="22" fillId="0" borderId="0" applyFill="0" applyBorder="0" applyProtection="0">
      <alignment horizontal="center"/>
    </xf>
    <xf numFmtId="40" fontId="67" fillId="0" borderId="0">
      <alignment horizontal="right"/>
    </xf>
    <xf numFmtId="40" fontId="65" fillId="29" borderId="0">
      <alignment horizontal="left"/>
    </xf>
    <xf numFmtId="40" fontId="65" fillId="29" borderId="0">
      <alignment horizontal="left"/>
    </xf>
    <xf numFmtId="40" fontId="2" fillId="0" borderId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5">
      <alignment horizontal="right"/>
    </xf>
    <xf numFmtId="40" fontId="67" fillId="0" borderId="0">
      <alignment horizontal="right"/>
    </xf>
    <xf numFmtId="40" fontId="67" fillId="0" borderId="0">
      <alignment horizontal="right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67" fillId="0" borderId="0">
      <alignment horizontal="right"/>
      <protection locked="0"/>
    </xf>
    <xf numFmtId="198" fontId="67" fillId="0" borderId="0">
      <alignment horizontal="right"/>
    </xf>
    <xf numFmtId="40" fontId="67" fillId="0" borderId="0">
      <alignment horizontal="right"/>
    </xf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" fontId="34" fillId="0" borderId="0" applyFill="0" applyBorder="0" applyProtection="0">
      <alignment horizontal="center"/>
    </xf>
    <xf numFmtId="0" fontId="33" fillId="0" borderId="1" applyNumberFormat="0" applyFill="0" applyBorder="0" applyProtection="0">
      <alignment horizontal="center"/>
    </xf>
    <xf numFmtId="0" fontId="32" fillId="0" borderId="0" applyNumberFormat="0" applyFill="0" applyBorder="0" applyProtection="0"/>
    <xf numFmtId="0" fontId="106" fillId="0" borderId="28" applyNumberFormat="0" applyFill="0" applyAlignment="0" applyProtection="0"/>
    <xf numFmtId="0" fontId="26" fillId="0" borderId="16">
      <protection locked="0"/>
    </xf>
    <xf numFmtId="0" fontId="16" fillId="0" borderId="17" applyNumberFormat="0" applyFill="0" applyAlignment="0" applyProtection="0"/>
    <xf numFmtId="0" fontId="2" fillId="0" borderId="16"/>
    <xf numFmtId="0" fontId="16" fillId="0" borderId="17" applyNumberFormat="0" applyFill="0" applyAlignment="0" applyProtection="0"/>
    <xf numFmtId="0" fontId="2" fillId="0" borderId="16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71" fillId="0" borderId="0"/>
    <xf numFmtId="40" fontId="22" fillId="0" borderId="10"/>
    <xf numFmtId="40" fontId="22" fillId="0" borderId="10"/>
    <xf numFmtId="0" fontId="22" fillId="0" borderId="0"/>
    <xf numFmtId="0" fontId="22" fillId="0" borderId="0"/>
    <xf numFmtId="40" fontId="22" fillId="0" borderId="0"/>
    <xf numFmtId="199" fontId="22" fillId="0" borderId="0"/>
    <xf numFmtId="40" fontId="22" fillId="0" borderId="0"/>
    <xf numFmtId="0" fontId="22" fillId="0" borderId="0"/>
    <xf numFmtId="0" fontId="22" fillId="0" borderId="0"/>
    <xf numFmtId="40" fontId="67" fillId="0" borderId="10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10">
      <alignment horizontal="right"/>
    </xf>
    <xf numFmtId="40" fontId="67" fillId="0" borderId="0">
      <alignment horizontal="right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38" fontId="124" fillId="0" borderId="0" applyBorder="0">
      <alignment horizontal="right"/>
    </xf>
    <xf numFmtId="0" fontId="71" fillId="0" borderId="0" applyFill="0" applyBorder="0" applyProtection="0">
      <alignment horizontal="center"/>
      <protection locked="0"/>
    </xf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84" fillId="0" borderId="0" applyFont="0" applyFill="0" applyBorder="0" applyAlignment="0" applyProtection="0"/>
    <xf numFmtId="0" fontId="74" fillId="0" borderId="0"/>
    <xf numFmtId="0" fontId="2" fillId="0" borderId="0"/>
    <xf numFmtId="9" fontId="84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00" fillId="6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94" fillId="0" borderId="0" applyNumberFormat="0" applyFill="0" applyBorder="0" applyAlignment="0" applyProtection="0"/>
    <xf numFmtId="0" fontId="2" fillId="0" borderId="0"/>
    <xf numFmtId="0" fontId="28" fillId="0" borderId="0"/>
    <xf numFmtId="0" fontId="8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03" fillId="0" borderId="0"/>
    <xf numFmtId="0" fontId="28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9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5" fillId="30" borderId="0" applyNumberFormat="0" applyBorder="0" applyAlignment="0" applyProtection="0"/>
    <xf numFmtId="0" fontId="75" fillId="36" borderId="0" applyNumberFormat="0" applyBorder="0" applyAlignment="0" applyProtection="0"/>
    <xf numFmtId="0" fontId="75" fillId="31" borderId="0" applyNumberFormat="0" applyBorder="0" applyAlignment="0" applyProtection="0"/>
    <xf numFmtId="0" fontId="75" fillId="37" borderId="0" applyNumberFormat="0" applyBorder="0" applyAlignment="0" applyProtection="0"/>
    <xf numFmtId="0" fontId="75" fillId="32" borderId="0" applyNumberFormat="0" applyBorder="0" applyAlignment="0" applyProtection="0"/>
    <xf numFmtId="0" fontId="75" fillId="38" borderId="0" applyNumberFormat="0" applyBorder="0" applyAlignment="0" applyProtection="0"/>
    <xf numFmtId="0" fontId="75" fillId="33" borderId="0" applyNumberFormat="0" applyBorder="0" applyAlignment="0" applyProtection="0"/>
    <xf numFmtId="0" fontId="75" fillId="39" borderId="0" applyNumberFormat="0" applyBorder="0" applyAlignment="0" applyProtection="0"/>
    <xf numFmtId="0" fontId="75" fillId="34" borderId="0" applyNumberFormat="0" applyBorder="0" applyAlignment="0" applyProtection="0"/>
    <xf numFmtId="0" fontId="75" fillId="40" borderId="0" applyNumberFormat="0" applyBorder="0" applyAlignment="0" applyProtection="0"/>
    <xf numFmtId="0" fontId="75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96" fillId="75" borderId="13"/>
    <xf numFmtId="0" fontId="84" fillId="74" borderId="13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129" fillId="75" borderId="13"/>
    <xf numFmtId="0" fontId="130" fillId="76" borderId="13"/>
  </cellStyleXfs>
  <cellXfs count="439">
    <xf numFmtId="0" fontId="0" fillId="0" borderId="0" xfId="0"/>
    <xf numFmtId="0" fontId="86" fillId="0" borderId="0" xfId="1523" applyFont="1" applyFill="1" applyBorder="1"/>
    <xf numFmtId="0" fontId="108" fillId="0" borderId="0" xfId="1523" applyFont="1" applyFill="1" applyBorder="1" applyAlignment="1">
      <alignment horizontal="center"/>
    </xf>
    <xf numFmtId="164" fontId="86" fillId="0" borderId="0" xfId="1523" applyNumberFormat="1" applyFont="1" applyFill="1" applyBorder="1"/>
    <xf numFmtId="167" fontId="86" fillId="0" borderId="0" xfId="1523" applyNumberFormat="1" applyFont="1" applyFill="1" applyBorder="1"/>
    <xf numFmtId="166" fontId="103" fillId="0" borderId="0" xfId="1790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0" fontId="0" fillId="0" borderId="0" xfId="0" applyBorder="1"/>
    <xf numFmtId="0" fontId="110" fillId="0" borderId="0" xfId="0" applyFont="1" applyBorder="1" applyAlignment="1">
      <alignment horizontal="center"/>
    </xf>
    <xf numFmtId="0" fontId="111" fillId="0" borderId="0" xfId="0" applyFont="1" applyFill="1" applyBorder="1" applyAlignment="1">
      <alignment horizontal="right"/>
    </xf>
    <xf numFmtId="0" fontId="109" fillId="0" borderId="0" xfId="0" applyFont="1" applyBorder="1"/>
    <xf numFmtId="166" fontId="109" fillId="0" borderId="0" xfId="0" applyNumberFormat="1" applyFont="1"/>
    <xf numFmtId="43" fontId="75" fillId="0" borderId="0" xfId="276" applyFont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99" fillId="0" borderId="0" xfId="0" quotePrefix="1" applyNumberFormat="1" applyFont="1" applyBorder="1" applyAlignment="1">
      <alignment horizontal="center"/>
    </xf>
    <xf numFmtId="0" fontId="103" fillId="0" borderId="0" xfId="0" applyFont="1"/>
    <xf numFmtId="5" fontId="103" fillId="0" borderId="0" xfId="0" applyNumberFormat="1" applyFont="1" applyBorder="1"/>
    <xf numFmtId="0" fontId="107" fillId="0" borderId="0" xfId="0" applyFont="1" applyBorder="1"/>
    <xf numFmtId="0" fontId="110" fillId="0" borderId="0" xfId="0" applyFont="1" applyBorder="1" applyAlignment="1">
      <alignment horizontal="right"/>
    </xf>
    <xf numFmtId="167" fontId="107" fillId="0" borderId="0" xfId="276" applyNumberFormat="1" applyFont="1" applyBorder="1"/>
    <xf numFmtId="5" fontId="107" fillId="0" borderId="0" xfId="0" applyNumberFormat="1" applyFont="1" applyBorder="1"/>
    <xf numFmtId="0" fontId="0" fillId="0" borderId="0" xfId="0" applyBorder="1" applyAlignment="1">
      <alignment horizontal="right"/>
    </xf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/>
    </xf>
    <xf numFmtId="167" fontId="2" fillId="65" borderId="0" xfId="276" applyNumberFormat="1" applyFont="1" applyFill="1" applyBorder="1"/>
    <xf numFmtId="167" fontId="2" fillId="0" borderId="0" xfId="276" applyNumberFormat="1" applyFont="1" applyFill="1" applyBorder="1"/>
    <xf numFmtId="176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0" fontId="3" fillId="0" borderId="0" xfId="1378" applyFont="1" applyFill="1" applyBorder="1"/>
    <xf numFmtId="0" fontId="3" fillId="0" borderId="0" xfId="1378" applyFont="1" applyFill="1" applyBorder="1" applyAlignment="1">
      <alignment horizontal="center"/>
    </xf>
    <xf numFmtId="0" fontId="4" fillId="0" borderId="0" xfId="1378" applyFont="1" applyFill="1" applyBorder="1" applyAlignment="1">
      <alignment horizontal="center" wrapText="1"/>
    </xf>
    <xf numFmtId="0" fontId="112" fillId="0" borderId="29" xfId="1378" applyFont="1" applyFill="1" applyBorder="1" applyAlignment="1">
      <alignment horizontal="center" wrapText="1"/>
    </xf>
    <xf numFmtId="168" fontId="112" fillId="0" borderId="29" xfId="1378" applyNumberFormat="1" applyFont="1" applyFill="1" applyBorder="1" applyAlignment="1">
      <alignment horizontal="center" wrapText="1"/>
    </xf>
    <xf numFmtId="1" fontId="113" fillId="64" borderId="0" xfId="1378" applyNumberFormat="1" applyFont="1" applyFill="1" applyBorder="1" applyAlignment="1">
      <alignment horizontal="center"/>
    </xf>
    <xf numFmtId="164" fontId="113" fillId="64" borderId="0" xfId="1378" applyNumberFormat="1" applyFont="1" applyFill="1" applyBorder="1"/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4" fontId="113" fillId="65" borderId="0" xfId="1378" applyNumberFormat="1" applyFont="1" applyFill="1" applyBorder="1"/>
    <xf numFmtId="164" fontId="114" fillId="0" borderId="0" xfId="1378" applyNumberFormat="1" applyFont="1" applyFill="1" applyBorder="1"/>
    <xf numFmtId="165" fontId="114" fillId="0" borderId="0" xfId="1378" applyNumberFormat="1" applyFont="1" applyFill="1" applyBorder="1"/>
    <xf numFmtId="0" fontId="115" fillId="0" borderId="0" xfId="1378" applyFont="1" applyFill="1" applyBorder="1"/>
    <xf numFmtId="167" fontId="113" fillId="64" borderId="0" xfId="276" applyNumberFormat="1" applyFont="1" applyFill="1" applyBorder="1" applyAlignment="1">
      <alignment horizontal="right"/>
    </xf>
    <xf numFmtId="167" fontId="113" fillId="64" borderId="0" xfId="276" applyNumberFormat="1" applyFont="1" applyFill="1" applyBorder="1"/>
    <xf numFmtId="42" fontId="113" fillId="0" borderId="2" xfId="1378" applyNumberFormat="1" applyFont="1" applyFill="1" applyBorder="1" applyAlignment="1">
      <alignment horizontal="center"/>
    </xf>
    <xf numFmtId="167" fontId="103" fillId="0" borderId="0" xfId="276" applyNumberFormat="1" applyFont="1"/>
    <xf numFmtId="176" fontId="103" fillId="0" borderId="0" xfId="0" applyNumberFormat="1" applyFont="1"/>
    <xf numFmtId="0" fontId="103" fillId="0" borderId="0" xfId="0" applyFont="1" applyBorder="1" applyAlignment="1">
      <alignment horizontal="center"/>
    </xf>
    <xf numFmtId="0" fontId="103" fillId="0" borderId="0" xfId="553" applyNumberFormat="1" applyFont="1" applyBorder="1" applyAlignment="1">
      <alignment horizont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0" fontId="116" fillId="0" borderId="1" xfId="0" applyFont="1" applyBorder="1" applyAlignment="1">
      <alignment horizontal="center"/>
    </xf>
    <xf numFmtId="0" fontId="116" fillId="0" borderId="1" xfId="553" applyNumberFormat="1" applyFont="1" applyBorder="1" applyAlignment="1">
      <alignment horizontal="center"/>
    </xf>
    <xf numFmtId="176" fontId="86" fillId="64" borderId="0" xfId="553" applyNumberFormat="1" applyFont="1" applyFill="1" applyBorder="1"/>
    <xf numFmtId="176" fontId="86" fillId="0" borderId="2" xfId="553" applyNumberFormat="1" applyFont="1" applyFill="1" applyBorder="1"/>
    <xf numFmtId="167" fontId="113" fillId="0" borderId="0" xfId="276" applyNumberFormat="1" applyFont="1" applyFill="1" applyBorder="1" applyAlignment="1">
      <alignment horizontal="right"/>
    </xf>
    <xf numFmtId="167" fontId="113" fillId="0" borderId="0" xfId="276" applyNumberFormat="1" applyFont="1" applyFill="1" applyBorder="1"/>
    <xf numFmtId="0" fontId="108" fillId="0" borderId="0" xfId="1523" applyFont="1" applyFill="1" applyBorder="1" applyAlignment="1">
      <alignment horizontal="center"/>
    </xf>
    <xf numFmtId="176" fontId="0" fillId="0" borderId="0" xfId="0" applyNumberFormat="1"/>
    <xf numFmtId="176" fontId="0" fillId="0" borderId="0" xfId="0" applyNumberFormat="1" applyBorder="1"/>
    <xf numFmtId="176" fontId="86" fillId="0" borderId="0" xfId="553" applyNumberFormat="1" applyFont="1" applyFill="1" applyBorder="1"/>
    <xf numFmtId="0" fontId="112" fillId="0" borderId="0" xfId="1378" applyFont="1" applyFill="1" applyBorder="1" applyAlignment="1">
      <alignment horizontal="center" wrapText="1"/>
    </xf>
    <xf numFmtId="168" fontId="112" fillId="0" borderId="0" xfId="1378" applyNumberFormat="1" applyFont="1" applyFill="1" applyBorder="1" applyAlignment="1">
      <alignment horizontal="center" wrapText="1"/>
    </xf>
    <xf numFmtId="0" fontId="83" fillId="0" borderId="0" xfId="1495"/>
    <xf numFmtId="0" fontId="2" fillId="0" borderId="0" xfId="1669" applyFont="1" applyAlignment="1">
      <alignment vertical="center"/>
    </xf>
    <xf numFmtId="0" fontId="2" fillId="0" borderId="0" xfId="1390" applyFont="1" applyAlignment="1">
      <alignment vertical="center"/>
    </xf>
    <xf numFmtId="10" fontId="2" fillId="0" borderId="0" xfId="1390" applyNumberFormat="1" applyFont="1" applyAlignment="1">
      <alignment horizontal="left" vertical="center"/>
    </xf>
    <xf numFmtId="0" fontId="83" fillId="0" borderId="0" xfId="1490"/>
    <xf numFmtId="0" fontId="103" fillId="0" borderId="0" xfId="1490" applyFont="1"/>
    <xf numFmtId="176" fontId="103" fillId="0" borderId="0" xfId="563" applyNumberFormat="1" applyFont="1"/>
    <xf numFmtId="10" fontId="103" fillId="0" borderId="0" xfId="1785" applyNumberFormat="1" applyFont="1"/>
    <xf numFmtId="0" fontId="83" fillId="0" borderId="0" xfId="1490"/>
    <xf numFmtId="0" fontId="2" fillId="0" borderId="0" xfId="1497" applyFont="1" applyAlignment="1">
      <alignment vertical="center"/>
    </xf>
    <xf numFmtId="0" fontId="103" fillId="0" borderId="0" xfId="1490" applyFont="1" applyAlignment="1">
      <alignment horizontal="center"/>
    </xf>
    <xf numFmtId="0" fontId="2" fillId="0" borderId="0" xfId="1497" applyFont="1" applyBorder="1" applyAlignment="1">
      <alignment vertical="center"/>
    </xf>
    <xf numFmtId="0" fontId="103" fillId="0" borderId="0" xfId="1490" applyFont="1" applyBorder="1"/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10" fontId="103" fillId="0" borderId="1" xfId="1490" quotePrefix="1" applyNumberFormat="1" applyFont="1" applyBorder="1" applyAlignment="1">
      <alignment horizontal="center"/>
    </xf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0" fontId="116" fillId="0" borderId="0" xfId="1523" applyFont="1" applyAlignment="1">
      <alignment horizontal="left"/>
    </xf>
    <xf numFmtId="0" fontId="116" fillId="0" borderId="0" xfId="1523" applyFont="1"/>
    <xf numFmtId="0" fontId="116" fillId="0" borderId="0" xfId="1523" applyFont="1" applyAlignment="1">
      <alignment horizontal="right"/>
    </xf>
    <xf numFmtId="171" fontId="116" fillId="0" borderId="0" xfId="1523" applyNumberFormat="1" applyFont="1" applyAlignment="1">
      <alignment horizontal="right"/>
    </xf>
    <xf numFmtId="197" fontId="103" fillId="0" borderId="0" xfId="1523" applyNumberFormat="1" applyFill="1"/>
    <xf numFmtId="171" fontId="103" fillId="0" borderId="0" xfId="1801" applyNumberFormat="1" applyFont="1" applyFill="1"/>
    <xf numFmtId="1" fontId="113" fillId="67" borderId="0" xfId="1378" applyNumberFormat="1" applyFont="1" applyFill="1" applyBorder="1" applyAlignment="1">
      <alignment horizontal="center"/>
    </xf>
    <xf numFmtId="164" fontId="113" fillId="68" borderId="0" xfId="1378" applyNumberFormat="1" applyFont="1" applyFill="1" applyBorder="1"/>
    <xf numFmtId="197" fontId="103" fillId="0" borderId="0" xfId="1523" applyNumberFormat="1" applyFill="1" applyBorder="1"/>
    <xf numFmtId="0" fontId="103" fillId="0" borderId="0" xfId="1523" applyFill="1" applyBorder="1" applyAlignment="1">
      <alignment horizontal="left"/>
    </xf>
    <xf numFmtId="0" fontId="103" fillId="0" borderId="0" xfId="1523" applyFill="1" applyBorder="1"/>
    <xf numFmtId="170" fontId="103" fillId="0" borderId="0" xfId="1689" applyNumberFormat="1" applyFont="1" applyFill="1" applyBorder="1" applyAlignment="1">
      <alignment horizontal="right"/>
    </xf>
    <xf numFmtId="170" fontId="109" fillId="0" borderId="0" xfId="0" applyNumberFormat="1" applyFont="1" applyFill="1" applyBorder="1"/>
    <xf numFmtId="175" fontId="103" fillId="0" borderId="0" xfId="1689" applyNumberFormat="1" applyFont="1" applyFill="1" applyBorder="1"/>
    <xf numFmtId="167" fontId="109" fillId="0" borderId="0" xfId="276" applyNumberFormat="1" applyFont="1" applyFill="1" applyBorder="1"/>
    <xf numFmtId="170" fontId="109" fillId="0" borderId="0" xfId="0" applyNumberFormat="1" applyFont="1" applyFill="1" applyBorder="1" applyAlignment="1">
      <alignment horizontal="right"/>
    </xf>
    <xf numFmtId="173" fontId="109" fillId="0" borderId="10" xfId="0" applyNumberFormat="1" applyFont="1" applyFill="1" applyBorder="1"/>
    <xf numFmtId="49" fontId="103" fillId="0" borderId="0" xfId="1523" applyNumberFormat="1" applyFill="1" applyBorder="1"/>
    <xf numFmtId="172" fontId="109" fillId="0" borderId="0" xfId="0" applyNumberFormat="1" applyFont="1"/>
    <xf numFmtId="172" fontId="103" fillId="0" borderId="2" xfId="1689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167" fontId="103" fillId="0" borderId="0" xfId="276" applyNumberFormat="1" applyFont="1" applyFill="1" applyBorder="1"/>
    <xf numFmtId="43" fontId="109" fillId="0" borderId="10" xfId="276" applyFont="1" applyFill="1" applyBorder="1"/>
    <xf numFmtId="175" fontId="109" fillId="0" borderId="10" xfId="1689" applyNumberFormat="1" applyFont="1" applyFill="1" applyBorder="1"/>
    <xf numFmtId="167" fontId="109" fillId="0" borderId="1" xfId="276" applyNumberFormat="1" applyFont="1" applyFill="1" applyBorder="1"/>
    <xf numFmtId="0" fontId="117" fillId="0" borderId="0" xfId="0" applyFont="1"/>
    <xf numFmtId="0" fontId="118" fillId="0" borderId="0" xfId="0" applyFont="1"/>
    <xf numFmtId="167" fontId="109" fillId="0" borderId="0" xfId="276" applyNumberFormat="1" applyFont="1"/>
    <xf numFmtId="167" fontId="109" fillId="0" borderId="0" xfId="0" applyNumberFormat="1" applyFont="1"/>
    <xf numFmtId="167" fontId="75" fillId="0" borderId="0" xfId="276" applyNumberFormat="1" applyFont="1" applyBorder="1"/>
    <xf numFmtId="167" fontId="0" fillId="0" borderId="0" xfId="0" applyNumberFormat="1" applyBorder="1"/>
    <xf numFmtId="0" fontId="119" fillId="0" borderId="0" xfId="0" quotePrefix="1" applyNumberFormat="1" applyFont="1" applyBorder="1"/>
    <xf numFmtId="0" fontId="103" fillId="0" borderId="0" xfId="0" quotePrefix="1" applyFont="1"/>
    <xf numFmtId="0" fontId="103" fillId="69" borderId="0" xfId="0" applyFont="1" applyFill="1"/>
    <xf numFmtId="0" fontId="2" fillId="0" borderId="0" xfId="1390" applyFont="1" applyFill="1" applyAlignment="1">
      <alignment vertical="center"/>
    </xf>
    <xf numFmtId="0" fontId="83" fillId="0" borderId="0" xfId="1495" applyFill="1"/>
    <xf numFmtId="10" fontId="2" fillId="0" borderId="0" xfId="1390" applyNumberFormat="1" applyFont="1" applyFill="1" applyAlignment="1">
      <alignment horizontal="left" vertical="center"/>
    </xf>
    <xf numFmtId="0" fontId="0" fillId="0" borderId="0" xfId="0" applyFill="1"/>
    <xf numFmtId="0" fontId="120" fillId="0" borderId="0" xfId="1523" applyFont="1" applyFill="1" applyBorder="1" applyAlignment="1">
      <alignment horizontal="center" wrapText="1"/>
    </xf>
    <xf numFmtId="42" fontId="0" fillId="0" borderId="0" xfId="0" applyNumberFormat="1"/>
    <xf numFmtId="42" fontId="113" fillId="0" borderId="0" xfId="1378" applyNumberFormat="1" applyFont="1" applyFill="1" applyBorder="1" applyAlignment="1">
      <alignment horizontal="center"/>
    </xf>
    <xf numFmtId="42" fontId="113" fillId="64" borderId="0" xfId="276" applyNumberFormat="1" applyFont="1" applyFill="1" applyBorder="1" applyAlignment="1">
      <alignment horizontal="right"/>
    </xf>
    <xf numFmtId="42" fontId="113" fillId="64" borderId="0" xfId="276" applyNumberFormat="1" applyFont="1" applyFill="1" applyBorder="1"/>
    <xf numFmtId="176" fontId="113" fillId="64" borderId="0" xfId="553" applyNumberFormat="1" applyFont="1" applyFill="1" applyBorder="1" applyAlignment="1">
      <alignment horizontal="right"/>
    </xf>
    <xf numFmtId="176" fontId="103" fillId="0" borderId="2" xfId="0" applyNumberFormat="1" applyFont="1" applyBorder="1"/>
    <xf numFmtId="167" fontId="109" fillId="0" borderId="0" xfId="276" applyNumberFormat="1" applyFont="1" applyBorder="1"/>
    <xf numFmtId="167" fontId="109" fillId="0" borderId="10" xfId="276" applyNumberFormat="1" applyFont="1" applyFill="1" applyBorder="1"/>
    <xf numFmtId="39" fontId="109" fillId="0" borderId="0" xfId="0" applyNumberFormat="1" applyFont="1" applyBorder="1"/>
    <xf numFmtId="0" fontId="0" fillId="0" borderId="0" xfId="0"/>
    <xf numFmtId="0" fontId="0" fillId="0" borderId="0" xfId="0" applyBorder="1"/>
    <xf numFmtId="176" fontId="103" fillId="0" borderId="0" xfId="0" applyNumberFormat="1" applyFont="1" applyFill="1" applyBorder="1"/>
    <xf numFmtId="0" fontId="103" fillId="0" borderId="0" xfId="0" applyFont="1" applyFill="1" applyBorder="1" applyAlignment="1">
      <alignment horizontal="left"/>
    </xf>
    <xf numFmtId="176" fontId="103" fillId="0" borderId="0" xfId="553" applyNumberFormat="1" applyFont="1" applyFill="1"/>
    <xf numFmtId="0" fontId="103" fillId="0" borderId="0" xfId="0" applyFont="1" applyFill="1" applyAlignment="1">
      <alignment horizontal="left"/>
    </xf>
    <xf numFmtId="0" fontId="116" fillId="0" borderId="0" xfId="0" applyFont="1" applyFill="1"/>
    <xf numFmtId="0" fontId="103" fillId="0" borderId="0" xfId="0" applyFont="1" applyFill="1"/>
    <xf numFmtId="176" fontId="103" fillId="0" borderId="0" xfId="0" applyNumberFormat="1" applyFont="1" applyBorder="1"/>
    <xf numFmtId="0" fontId="103" fillId="0" borderId="0" xfId="0" applyFont="1" applyFill="1" applyBorder="1"/>
    <xf numFmtId="0" fontId="103" fillId="0" borderId="0" xfId="0" applyFont="1" applyBorder="1"/>
    <xf numFmtId="0" fontId="103" fillId="0" borderId="0" xfId="0" applyFont="1"/>
    <xf numFmtId="167" fontId="103" fillId="0" borderId="0" xfId="276" applyNumberFormat="1" applyFont="1"/>
    <xf numFmtId="167" fontId="103" fillId="0" borderId="0" xfId="276" applyNumberFormat="1" applyFont="1" applyFill="1" applyBorder="1"/>
    <xf numFmtId="167" fontId="109" fillId="0" borderId="0" xfId="276" applyNumberFormat="1" applyFont="1"/>
    <xf numFmtId="167" fontId="103" fillId="0" borderId="0" xfId="276" applyNumberFormat="1" applyFont="1" applyFill="1"/>
    <xf numFmtId="167" fontId="103" fillId="0" borderId="0" xfId="276" applyNumberFormat="1" applyFont="1" applyBorder="1"/>
    <xf numFmtId="167" fontId="103" fillId="0" borderId="0" xfId="0" applyNumberFormat="1" applyFont="1"/>
    <xf numFmtId="167" fontId="75" fillId="0" borderId="0" xfId="276" applyNumberFormat="1" applyFont="1"/>
    <xf numFmtId="167" fontId="0" fillId="0" borderId="0" xfId="0" applyNumberFormat="1"/>
    <xf numFmtId="0" fontId="0" fillId="0" borderId="0" xfId="0"/>
    <xf numFmtId="0" fontId="4" fillId="0" borderId="1" xfId="1378" applyFont="1" applyFill="1" applyBorder="1" applyAlignment="1">
      <alignment horizontal="center" wrapText="1"/>
    </xf>
    <xf numFmtId="0" fontId="109" fillId="0" borderId="0" xfId="0" applyFont="1" applyFill="1"/>
    <xf numFmtId="42" fontId="103" fillId="0" borderId="0" xfId="0" applyNumberFormat="1" applyFont="1"/>
    <xf numFmtId="167" fontId="103" fillId="0" borderId="0" xfId="0" applyNumberFormat="1" applyFont="1" applyBorder="1"/>
    <xf numFmtId="0" fontId="116" fillId="0" borderId="0" xfId="0" applyFont="1" applyBorder="1" applyAlignment="1">
      <alignment horizontal="right"/>
    </xf>
    <xf numFmtId="3" fontId="103" fillId="0" borderId="0" xfId="0" applyNumberFormat="1" applyFont="1" applyBorder="1"/>
    <xf numFmtId="37" fontId="86" fillId="0" borderId="1" xfId="335" applyNumberFormat="1" applyFont="1" applyFill="1" applyBorder="1"/>
    <xf numFmtId="176" fontId="86" fillId="0" borderId="0" xfId="567" applyNumberFormat="1" applyFont="1" applyFill="1" applyBorder="1"/>
    <xf numFmtId="0" fontId="0" fillId="0" borderId="0" xfId="0"/>
    <xf numFmtId="0" fontId="109" fillId="0" borderId="0" xfId="0" applyFont="1"/>
    <xf numFmtId="0" fontId="0" fillId="0" borderId="0" xfId="0" applyBorder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167" fontId="86" fillId="0" borderId="0" xfId="276" applyNumberFormat="1" applyFont="1" applyFill="1" applyBorder="1"/>
    <xf numFmtId="167" fontId="86" fillId="65" borderId="0" xfId="276" applyNumberFormat="1" applyFont="1" applyFill="1" applyBorder="1"/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6" fontId="103" fillId="0" borderId="2" xfId="1689" applyNumberFormat="1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103" fillId="0" borderId="0" xfId="0" applyFont="1"/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167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166" fontId="86" fillId="64" borderId="0" xfId="1689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7" fontId="103" fillId="0" borderId="0" xfId="276" applyNumberFormat="1" applyFont="1"/>
    <xf numFmtId="176" fontId="103" fillId="0" borderId="0" xfId="0" applyNumberFormat="1" applyFont="1"/>
    <xf numFmtId="0" fontId="103" fillId="0" borderId="0" xfId="0" applyFont="1" applyAlignment="1">
      <alignment horizontal="center"/>
    </xf>
    <xf numFmtId="0" fontId="116" fillId="0" borderId="0" xfId="0" applyFont="1"/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167" fontId="103" fillId="0" borderId="1" xfId="276" applyNumberFormat="1" applyFont="1" applyBorder="1"/>
    <xf numFmtId="0" fontId="103" fillId="0" borderId="0" xfId="0" applyFont="1" applyBorder="1" applyAlignment="1">
      <alignment horizontal="left"/>
    </xf>
    <xf numFmtId="176" fontId="86" fillId="64" borderId="0" xfId="553" applyNumberFormat="1" applyFont="1" applyFill="1" applyBorder="1"/>
    <xf numFmtId="176" fontId="103" fillId="0" borderId="2" xfId="553" applyNumberFormat="1" applyFont="1" applyFill="1" applyBorder="1"/>
    <xf numFmtId="197" fontId="103" fillId="0" borderId="0" xfId="1523" applyNumberFormat="1" applyFill="1" applyBorder="1"/>
    <xf numFmtId="166" fontId="81" fillId="0" borderId="0" xfId="1689" applyNumberFormat="1" applyFont="1" applyFill="1" applyBorder="1"/>
    <xf numFmtId="167" fontId="103" fillId="0" borderId="0" xfId="276" applyNumberFormat="1" applyFont="1" applyFill="1" applyBorder="1"/>
    <xf numFmtId="167" fontId="109" fillId="0" borderId="0" xfId="276" applyNumberFormat="1" applyFont="1"/>
    <xf numFmtId="167" fontId="109" fillId="0" borderId="0" xfId="0" applyNumberFormat="1" applyFont="1"/>
    <xf numFmtId="167" fontId="0" fillId="0" borderId="0" xfId="0" applyNumberFormat="1" applyBorder="1"/>
    <xf numFmtId="176" fontId="103" fillId="0" borderId="2" xfId="0" applyNumberFormat="1" applyFont="1" applyBorder="1"/>
    <xf numFmtId="167" fontId="103" fillId="0" borderId="0" xfId="0" applyNumberFormat="1" applyFont="1"/>
    <xf numFmtId="0" fontId="117" fillId="0" borderId="0" xfId="0" applyFont="1" applyAlignment="1">
      <alignment horizontal="center"/>
    </xf>
    <xf numFmtId="42" fontId="103" fillId="0" borderId="0" xfId="276" applyNumberFormat="1" applyFont="1"/>
    <xf numFmtId="41" fontId="113" fillId="64" borderId="0" xfId="276" applyNumberFormat="1" applyFont="1" applyFill="1" applyBorder="1" applyAlignment="1">
      <alignment horizontal="right"/>
    </xf>
    <xf numFmtId="41" fontId="113" fillId="0" borderId="0" xfId="276" applyNumberFormat="1" applyFont="1" applyFill="1" applyBorder="1" applyAlignment="1">
      <alignment horizontal="right"/>
    </xf>
    <xf numFmtId="176" fontId="103" fillId="0" borderId="2" xfId="563" applyNumberFormat="1" applyFont="1" applyBorder="1"/>
    <xf numFmtId="167" fontId="103" fillId="0" borderId="0" xfId="378" applyNumberFormat="1" applyFont="1" applyBorder="1"/>
    <xf numFmtId="167" fontId="103" fillId="66" borderId="0" xfId="276" applyNumberFormat="1" applyFont="1" applyFill="1"/>
    <xf numFmtId="176" fontId="103" fillId="0" borderId="0" xfId="553" applyNumberFormat="1" applyFont="1" applyFill="1" applyBorder="1"/>
    <xf numFmtId="0" fontId="109" fillId="0" borderId="1" xfId="0" applyFont="1" applyFill="1" applyBorder="1"/>
    <xf numFmtId="0" fontId="0" fillId="0" borderId="0" xfId="0" applyFill="1" applyBorder="1"/>
    <xf numFmtId="0" fontId="116" fillId="0" borderId="0" xfId="0" applyFont="1" applyFill="1" applyBorder="1" applyAlignment="1">
      <alignment horizontal="center"/>
    </xf>
    <xf numFmtId="176" fontId="0" fillId="0" borderId="0" xfId="0" applyNumberFormat="1" applyFill="1"/>
    <xf numFmtId="0" fontId="0" fillId="0" borderId="0" xfId="0" applyAlignment="1">
      <alignment shrinkToFit="1"/>
    </xf>
    <xf numFmtId="0" fontId="103" fillId="0" borderId="0" xfId="0" applyFont="1" applyFill="1" applyAlignment="1">
      <alignment horizontal="center"/>
    </xf>
    <xf numFmtId="41" fontId="103" fillId="0" borderId="0" xfId="276" applyNumberFormat="1" applyFont="1" applyFill="1" applyBorder="1"/>
    <xf numFmtId="41" fontId="103" fillId="0" borderId="0" xfId="0" applyNumberFormat="1" applyFont="1"/>
    <xf numFmtId="41" fontId="103" fillId="0" borderId="0" xfId="0" applyNumberFormat="1" applyFont="1" applyFill="1" applyBorder="1"/>
    <xf numFmtId="41" fontId="86" fillId="64" borderId="0" xfId="553" applyNumberFormat="1" applyFont="1" applyFill="1" applyBorder="1"/>
    <xf numFmtId="42" fontId="86" fillId="65" borderId="0" xfId="276" applyNumberFormat="1" applyFont="1" applyFill="1" applyBorder="1"/>
    <xf numFmtId="0" fontId="117" fillId="0" borderId="0" xfId="0" applyFont="1" applyFill="1"/>
    <xf numFmtId="0" fontId="118" fillId="0" borderId="0" xfId="0" applyFont="1" applyFill="1" applyAlignment="1">
      <alignment horizontal="center"/>
    </xf>
    <xf numFmtId="0" fontId="103" fillId="66" borderId="0" xfId="1523" applyNumberFormat="1" applyFill="1"/>
    <xf numFmtId="167" fontId="86" fillId="65" borderId="1" xfId="276" applyNumberFormat="1" applyFont="1" applyFill="1" applyBorder="1"/>
    <xf numFmtId="166" fontId="86" fillId="65" borderId="1" xfId="1689" applyNumberFormat="1" applyFont="1" applyFill="1" applyBorder="1"/>
    <xf numFmtId="0" fontId="119" fillId="0" borderId="0" xfId="0" quotePrefix="1" applyNumberFormat="1" applyFont="1" applyFill="1" applyBorder="1"/>
    <xf numFmtId="0" fontId="118" fillId="0" borderId="0" xfId="0" applyFont="1" applyFill="1" applyAlignment="1">
      <alignment horizontal="left"/>
    </xf>
    <xf numFmtId="0" fontId="121" fillId="0" borderId="0" xfId="0" applyFont="1" applyFill="1" applyBorder="1"/>
    <xf numFmtId="0" fontId="115" fillId="0" borderId="0" xfId="1378" applyFont="1" applyFill="1" applyBorder="1" applyAlignment="1">
      <alignment horizontal="center"/>
    </xf>
    <xf numFmtId="176" fontId="2" fillId="0" borderId="0" xfId="276" applyNumberFormat="1" applyFont="1" applyFill="1" applyBorder="1"/>
    <xf numFmtId="169" fontId="86" fillId="70" borderId="0" xfId="1523" applyNumberFormat="1" applyFont="1" applyFill="1" applyBorder="1" applyAlignment="1">
      <alignment horizontal="center"/>
    </xf>
    <xf numFmtId="164" fontId="86" fillId="70" borderId="0" xfId="1523" applyNumberFormat="1" applyFont="1" applyFill="1" applyBorder="1" applyAlignment="1"/>
    <xf numFmtId="167" fontId="2" fillId="70" borderId="0" xfId="276" applyNumberFormat="1" applyFont="1" applyFill="1" applyBorder="1"/>
    <xf numFmtId="176" fontId="106" fillId="0" borderId="0" xfId="0" applyNumberFormat="1" applyFont="1"/>
    <xf numFmtId="0" fontId="4" fillId="0" borderId="5" xfId="1378" applyFont="1" applyFill="1" applyBorder="1" applyAlignment="1">
      <alignment horizontal="center" wrapText="1"/>
    </xf>
    <xf numFmtId="1" fontId="0" fillId="0" borderId="0" xfId="0" applyNumberFormat="1"/>
    <xf numFmtId="10" fontId="2" fillId="0" borderId="1" xfId="0" quotePrefix="1" applyNumberFormat="1" applyFont="1" applyBorder="1" applyAlignment="1">
      <alignment horizontal="center"/>
    </xf>
    <xf numFmtId="0" fontId="2" fillId="0" borderId="0" xfId="0" applyFont="1"/>
    <xf numFmtId="42" fontId="103" fillId="0" borderId="0" xfId="562" applyNumberFormat="1" applyFont="1" applyFill="1" applyAlignment="1"/>
    <xf numFmtId="0" fontId="103" fillId="0" borderId="0" xfId="0" applyFont="1" applyAlignment="1">
      <alignment vertical="center"/>
    </xf>
    <xf numFmtId="0" fontId="2" fillId="0" borderId="0" xfId="1497" applyFont="1" applyAlignment="1">
      <alignment vertical="top"/>
    </xf>
    <xf numFmtId="0" fontId="2" fillId="0" borderId="0" xfId="1378" applyAlignment="1">
      <alignment vertical="center"/>
    </xf>
    <xf numFmtId="0" fontId="86" fillId="0" borderId="0" xfId="1497" applyFont="1" applyAlignment="1">
      <alignment vertical="top"/>
    </xf>
    <xf numFmtId="41" fontId="2" fillId="0" borderId="10" xfId="1497" applyNumberFormat="1" applyFont="1" applyBorder="1"/>
    <xf numFmtId="0" fontId="2" fillId="0" borderId="0" xfId="1497" applyFont="1"/>
    <xf numFmtId="41" fontId="86" fillId="0" borderId="0" xfId="1497" applyNumberFormat="1" applyFont="1" applyBorder="1" applyAlignment="1">
      <alignment vertical="top"/>
    </xf>
    <xf numFmtId="3" fontId="103" fillId="0" borderId="0" xfId="0" applyNumberFormat="1" applyFont="1"/>
    <xf numFmtId="41" fontId="3" fillId="0" borderId="0" xfId="1378" applyNumberFormat="1" applyFont="1" applyFill="1" applyBorder="1" applyAlignment="1">
      <alignment horizontal="center"/>
    </xf>
    <xf numFmtId="41" fontId="3" fillId="0" borderId="0" xfId="1378" applyNumberFormat="1" applyFont="1" applyFill="1" applyBorder="1"/>
    <xf numFmtId="41" fontId="2" fillId="65" borderId="0" xfId="276" applyNumberFormat="1" applyFont="1" applyFill="1" applyBorder="1"/>
    <xf numFmtId="41" fontId="2" fillId="0" borderId="0" xfId="276" applyNumberFormat="1" applyFont="1" applyFill="1" applyBorder="1"/>
    <xf numFmtId="1" fontId="86" fillId="71" borderId="0" xfId="1378" applyNumberFormat="1" applyFont="1" applyFill="1" applyBorder="1" applyAlignment="1">
      <alignment horizontal="center"/>
    </xf>
    <xf numFmtId="164" fontId="86" fillId="71" borderId="0" xfId="1378" applyNumberFormat="1" applyFont="1" applyFill="1" applyBorder="1"/>
    <xf numFmtId="176" fontId="86" fillId="71" borderId="0" xfId="553" applyNumberFormat="1" applyFont="1" applyFill="1" applyBorder="1"/>
    <xf numFmtId="166" fontId="86" fillId="71" borderId="0" xfId="1689" applyNumberFormat="1" applyFont="1" applyFill="1" applyBorder="1"/>
    <xf numFmtId="0" fontId="118" fillId="0" borderId="0" xfId="0" applyFont="1" applyAlignment="1">
      <alignment horizontal="center"/>
    </xf>
    <xf numFmtId="176" fontId="86" fillId="73" borderId="2" xfId="567" applyNumberFormat="1" applyFont="1" applyFill="1" applyBorder="1"/>
    <xf numFmtId="167" fontId="0" fillId="73" borderId="0" xfId="0" applyNumberFormat="1" applyFill="1" applyBorder="1"/>
    <xf numFmtId="0" fontId="99" fillId="0" borderId="0" xfId="0" applyFont="1"/>
    <xf numFmtId="176" fontId="109" fillId="0" borderId="19" xfId="0" applyNumberFormat="1" applyFont="1" applyBorder="1"/>
    <xf numFmtId="176" fontId="103" fillId="0" borderId="0" xfId="563" applyNumberFormat="1" applyFont="1" applyFill="1"/>
    <xf numFmtId="9" fontId="103" fillId="0" borderId="0" xfId="1490" quotePrefix="1" applyNumberFormat="1" applyFont="1" applyFill="1" applyAlignment="1">
      <alignment horizontal="center"/>
    </xf>
    <xf numFmtId="174" fontId="103" fillId="0" borderId="0" xfId="1689" quotePrefix="1" applyNumberFormat="1" applyFont="1" applyFill="1" applyAlignment="1">
      <alignment horizontal="center"/>
    </xf>
    <xf numFmtId="167" fontId="103" fillId="0" borderId="1" xfId="378" applyNumberFormat="1" applyFont="1" applyFill="1" applyBorder="1"/>
    <xf numFmtId="41" fontId="2" fillId="0" borderId="1" xfId="1497" applyNumberFormat="1" applyFont="1" applyFill="1" applyBorder="1" applyAlignment="1">
      <alignment vertical="center"/>
    </xf>
    <xf numFmtId="41" fontId="2" fillId="0" borderId="0" xfId="1497" applyNumberFormat="1" applyFont="1" applyFill="1" applyAlignment="1">
      <alignment vertical="center"/>
    </xf>
    <xf numFmtId="176" fontId="109" fillId="0" borderId="0" xfId="0" applyNumberFormat="1" applyFont="1"/>
    <xf numFmtId="167" fontId="127" fillId="0" borderId="0" xfId="1496" applyNumberFormat="1" applyFont="1" applyFill="1" applyBorder="1"/>
    <xf numFmtId="0" fontId="75" fillId="0" borderId="0" xfId="1934"/>
    <xf numFmtId="0" fontId="75" fillId="0" borderId="0" xfId="1934" applyFill="1"/>
    <xf numFmtId="0" fontId="127" fillId="0" borderId="0" xfId="1496" applyFont="1" applyFill="1" applyBorder="1"/>
    <xf numFmtId="0" fontId="127" fillId="0" borderId="0" xfId="1934" applyFont="1" applyFill="1" applyBorder="1"/>
    <xf numFmtId="0" fontId="75" fillId="0" borderId="0" xfId="1934" applyFill="1" applyBorder="1"/>
    <xf numFmtId="0" fontId="75" fillId="0" borderId="0" xfId="1935" applyFill="1"/>
    <xf numFmtId="167" fontId="127" fillId="0" borderId="1" xfId="1937" applyNumberFormat="1" applyFont="1" applyFill="1" applyBorder="1"/>
    <xf numFmtId="167" fontId="127" fillId="0" borderId="0" xfId="1937" applyNumberFormat="1" applyFont="1" applyFill="1" applyBorder="1"/>
    <xf numFmtId="0" fontId="127" fillId="0" borderId="0" xfId="1496" applyFont="1" applyFill="1" applyAlignment="1">
      <alignment horizontal="left"/>
    </xf>
    <xf numFmtId="176" fontId="103" fillId="0" borderId="0" xfId="0" applyNumberFormat="1" applyFont="1" applyFill="1"/>
    <xf numFmtId="167" fontId="103" fillId="0" borderId="0" xfId="0" applyNumberFormat="1" applyFont="1" applyFill="1"/>
    <xf numFmtId="0" fontId="103" fillId="0" borderId="0" xfId="0" applyFont="1" applyFill="1" applyBorder="1"/>
    <xf numFmtId="0" fontId="103" fillId="0" borderId="0" xfId="0" applyFont="1"/>
    <xf numFmtId="167" fontId="103" fillId="0" borderId="0" xfId="276" applyNumberFormat="1" applyFont="1" applyFill="1" applyBorder="1"/>
    <xf numFmtId="42" fontId="0" fillId="0" borderId="0" xfId="0" applyNumberFormat="1"/>
    <xf numFmtId="176" fontId="103" fillId="0" borderId="0" xfId="553" applyNumberFormat="1" applyFont="1" applyFill="1"/>
    <xf numFmtId="0" fontId="116" fillId="0" borderId="0" xfId="0" applyFont="1" applyFill="1"/>
    <xf numFmtId="0" fontId="103" fillId="0" borderId="0" xfId="0" applyFont="1" applyFill="1"/>
    <xf numFmtId="167" fontId="103" fillId="0" borderId="0" xfId="276" applyNumberFormat="1" applyFont="1" applyFill="1"/>
    <xf numFmtId="42" fontId="103" fillId="0" borderId="0" xfId="0" applyNumberFormat="1" applyFont="1"/>
    <xf numFmtId="176" fontId="103" fillId="0" borderId="0" xfId="553" applyNumberFormat="1" applyFont="1" applyFill="1" applyBorder="1"/>
    <xf numFmtId="167" fontId="103" fillId="0" borderId="1" xfId="276" applyNumberFormat="1" applyFont="1" applyFill="1" applyBorder="1"/>
    <xf numFmtId="42" fontId="103" fillId="0" borderId="0" xfId="276" applyNumberFormat="1" applyFont="1" applyFill="1"/>
    <xf numFmtId="42" fontId="103" fillId="0" borderId="0" xfId="276" applyNumberFormat="1" applyFont="1" applyFill="1" applyBorder="1"/>
    <xf numFmtId="41" fontId="103" fillId="0" borderId="0" xfId="276" applyNumberFormat="1" applyFont="1" applyFill="1"/>
    <xf numFmtId="41" fontId="103" fillId="0" borderId="0" xfId="0" applyNumberFormat="1" applyFont="1" applyFill="1"/>
    <xf numFmtId="2" fontId="103" fillId="0" borderId="0" xfId="0" quotePrefix="1" applyNumberFormat="1" applyFont="1" applyFill="1" applyAlignment="1">
      <alignment horizontal="center"/>
    </xf>
    <xf numFmtId="41" fontId="103" fillId="0" borderId="1" xfId="276" applyNumberFormat="1" applyFont="1" applyFill="1" applyBorder="1"/>
    <xf numFmtId="176" fontId="103" fillId="0" borderId="2" xfId="0" applyNumberFormat="1" applyFont="1" applyFill="1" applyBorder="1"/>
    <xf numFmtId="0" fontId="116" fillId="0" borderId="0" xfId="0" applyFont="1" applyFill="1" applyAlignment="1">
      <alignment horizontal="center"/>
    </xf>
    <xf numFmtId="0" fontId="116" fillId="0" borderId="0" xfId="0" applyNumberFormat="1" applyFont="1" applyFill="1" applyAlignment="1">
      <alignment horizontal="center"/>
    </xf>
    <xf numFmtId="0" fontId="116" fillId="0" borderId="1" xfId="0" applyFont="1" applyFill="1" applyBorder="1" applyAlignment="1">
      <alignment horizontal="center"/>
    </xf>
    <xf numFmtId="0" fontId="116" fillId="0" borderId="1" xfId="553" applyNumberFormat="1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03" fillId="0" borderId="0" xfId="553" applyNumberFormat="1" applyFont="1" applyFill="1" applyBorder="1" applyAlignment="1">
      <alignment horizontal="center"/>
    </xf>
    <xf numFmtId="6" fontId="109" fillId="0" borderId="0" xfId="0" applyNumberFormat="1" applyFont="1" applyBorder="1"/>
    <xf numFmtId="3" fontId="109" fillId="0" borderId="0" xfId="0" applyNumberFormat="1" applyFont="1" applyFill="1" applyBorder="1"/>
    <xf numFmtId="3" fontId="109" fillId="0" borderId="0" xfId="0" applyNumberFormat="1" applyFont="1"/>
    <xf numFmtId="43" fontId="109" fillId="0" borderId="0" xfId="276" applyFont="1" applyFill="1" applyBorder="1"/>
    <xf numFmtId="1" fontId="109" fillId="0" borderId="0" xfId="0" applyNumberFormat="1" applyFont="1"/>
    <xf numFmtId="167" fontId="0" fillId="0" borderId="0" xfId="0" applyNumberFormat="1" applyFill="1"/>
    <xf numFmtId="167" fontId="2" fillId="0" borderId="1" xfId="276" applyNumberFormat="1" applyFont="1" applyFill="1" applyBorder="1"/>
    <xf numFmtId="41" fontId="2" fillId="0" borderId="1" xfId="276" applyNumberFormat="1" applyFont="1" applyFill="1" applyBorder="1"/>
    <xf numFmtId="167" fontId="113" fillId="64" borderId="1" xfId="276" applyNumberFormat="1" applyFont="1" applyFill="1" applyBorder="1" applyAlignment="1">
      <alignment horizontal="right"/>
    </xf>
    <xf numFmtId="167" fontId="113" fillId="64" borderId="1" xfId="276" applyNumberFormat="1" applyFont="1" applyFill="1" applyBorder="1"/>
    <xf numFmtId="0" fontId="103" fillId="0" borderId="0" xfId="1490" quotePrefix="1" applyFont="1" applyBorder="1" applyAlignment="1">
      <alignment horizontal="center"/>
    </xf>
    <xf numFmtId="0" fontId="118" fillId="0" borderId="0" xfId="0" applyFont="1" applyAlignment="1">
      <alignment horizontal="center"/>
    </xf>
    <xf numFmtId="167" fontId="109" fillId="0" borderId="0" xfId="0" applyNumberFormat="1" applyFont="1" applyBorder="1"/>
    <xf numFmtId="176" fontId="109" fillId="0" borderId="0" xfId="0" applyNumberFormat="1" applyFont="1" applyBorder="1"/>
    <xf numFmtId="167" fontId="86" fillId="0" borderId="1" xfId="276" applyNumberFormat="1" applyFont="1" applyFill="1" applyBorder="1"/>
    <xf numFmtId="166" fontId="86" fillId="0" borderId="1" xfId="1689" applyNumberFormat="1" applyFont="1" applyFill="1" applyBorder="1"/>
    <xf numFmtId="176" fontId="86" fillId="73" borderId="0" xfId="567" applyNumberFormat="1" applyFont="1" applyFill="1" applyBorder="1"/>
    <xf numFmtId="0" fontId="131" fillId="0" borderId="0" xfId="0" applyFont="1"/>
    <xf numFmtId="0" fontId="132" fillId="0" borderId="0" xfId="0" applyFont="1"/>
    <xf numFmtId="0" fontId="131" fillId="77" borderId="30" xfId="0" applyFont="1" applyFill="1" applyBorder="1" applyAlignment="1" applyProtection="1">
      <alignment horizontal="center"/>
      <protection locked="0"/>
    </xf>
    <xf numFmtId="0" fontId="131" fillId="0" borderId="0" xfId="0" quotePrefix="1" applyFont="1"/>
    <xf numFmtId="0" fontId="131" fillId="0" borderId="0" xfId="0" applyFont="1" applyAlignment="1">
      <alignment horizontal="center"/>
    </xf>
    <xf numFmtId="167" fontId="131" fillId="77" borderId="30" xfId="276" applyNumberFormat="1" applyFont="1" applyFill="1" applyBorder="1" applyProtection="1">
      <protection locked="0"/>
    </xf>
    <xf numFmtId="0" fontId="133" fillId="0" borderId="0" xfId="0" applyFont="1"/>
    <xf numFmtId="167" fontId="131" fillId="0" borderId="0" xfId="276" applyNumberFormat="1" applyFont="1" applyFill="1" applyBorder="1" applyProtection="1">
      <protection locked="0"/>
    </xf>
    <xf numFmtId="167" fontId="131" fillId="0" borderId="0" xfId="276" applyNumberFormat="1" applyFont="1" applyBorder="1" applyProtection="1"/>
    <xf numFmtId="167" fontId="132" fillId="0" borderId="0" xfId="276" applyNumberFormat="1" applyFont="1" applyBorder="1" applyAlignment="1" applyProtection="1">
      <alignment horizontal="center"/>
    </xf>
    <xf numFmtId="166" fontId="131" fillId="0" borderId="31" xfId="1689" quotePrefix="1" applyNumberFormat="1" applyFont="1" applyBorder="1" applyProtection="1"/>
    <xf numFmtId="167" fontId="131" fillId="0" borderId="31" xfId="276" quotePrefix="1" applyNumberFormat="1" applyFont="1" applyBorder="1" applyProtection="1"/>
    <xf numFmtId="3" fontId="131" fillId="0" borderId="0" xfId="0" applyNumberFormat="1" applyFont="1"/>
    <xf numFmtId="167" fontId="131" fillId="0" borderId="0" xfId="0" quotePrefix="1" applyNumberFormat="1" applyFont="1"/>
    <xf numFmtId="43" fontId="131" fillId="0" borderId="0" xfId="276" applyFont="1" applyProtection="1"/>
    <xf numFmtId="43" fontId="0" fillId="0" borderId="0" xfId="0" applyNumberFormat="1"/>
    <xf numFmtId="167" fontId="131" fillId="0" borderId="0" xfId="0" applyNumberFormat="1" applyFont="1"/>
    <xf numFmtId="0" fontId="133" fillId="0" borderId="0" xfId="0" applyFont="1" applyAlignment="1">
      <alignment horizontal="left" indent="1"/>
    </xf>
    <xf numFmtId="0" fontId="134" fillId="0" borderId="0" xfId="1523" applyFont="1" applyAlignment="1">
      <alignment horizontal="center"/>
    </xf>
    <xf numFmtId="0" fontId="135" fillId="0" borderId="0" xfId="1523" applyFont="1" applyAlignment="1">
      <alignment horizontal="right"/>
    </xf>
    <xf numFmtId="167" fontId="131" fillId="0" borderId="0" xfId="276" quotePrefix="1" applyNumberFormat="1" applyFont="1" applyProtection="1"/>
    <xf numFmtId="0" fontId="136" fillId="0" borderId="0" xfId="0" applyFont="1"/>
    <xf numFmtId="0" fontId="136" fillId="0" borderId="0" xfId="0" applyFont="1" applyAlignment="1">
      <alignment horizontal="center"/>
    </xf>
    <xf numFmtId="0" fontId="137" fillId="0" borderId="0" xfId="1378" applyFont="1" applyAlignment="1">
      <alignment horizontal="left"/>
    </xf>
    <xf numFmtId="0" fontId="137" fillId="0" borderId="0" xfId="1378" applyFont="1" applyAlignment="1">
      <alignment horizontal="left" indent="1"/>
    </xf>
    <xf numFmtId="0" fontId="131" fillId="0" borderId="0" xfId="0" applyFont="1" applyAlignment="1">
      <alignment horizontal="left" indent="1"/>
    </xf>
    <xf numFmtId="167" fontId="131" fillId="0" borderId="10" xfId="0" applyNumberFormat="1" applyFont="1" applyBorder="1"/>
    <xf numFmtId="167" fontId="131" fillId="0" borderId="0" xfId="276" applyNumberFormat="1" applyFont="1" applyProtection="1"/>
    <xf numFmtId="0" fontId="131" fillId="0" borderId="1" xfId="0" applyFont="1" applyBorder="1" applyAlignment="1">
      <alignment horizontal="center"/>
    </xf>
    <xf numFmtId="166" fontId="131" fillId="0" borderId="0" xfId="0" quotePrefix="1" applyNumberFormat="1" applyFont="1"/>
    <xf numFmtId="176" fontId="131" fillId="0" borderId="0" xfId="553" quotePrefix="1" applyNumberFormat="1" applyFont="1" applyProtection="1"/>
    <xf numFmtId="176" fontId="131" fillId="0" borderId="0" xfId="553" applyNumberFormat="1" applyFont="1" applyProtection="1"/>
    <xf numFmtId="10" fontId="131" fillId="0" borderId="0" xfId="1689" applyNumberFormat="1" applyFont="1" applyProtection="1"/>
    <xf numFmtId="10" fontId="131" fillId="0" borderId="0" xfId="0" applyNumberFormat="1" applyFont="1"/>
    <xf numFmtId="42" fontId="131" fillId="0" borderId="10" xfId="0" applyNumberFormat="1" applyFont="1" applyBorder="1"/>
    <xf numFmtId="0" fontId="3" fillId="0" borderId="0" xfId="1378" applyFont="1"/>
    <xf numFmtId="0" fontId="3" fillId="0" borderId="0" xfId="1378" applyFont="1" applyAlignment="1">
      <alignment horizontal="center"/>
    </xf>
    <xf numFmtId="0" fontId="4" fillId="0" borderId="0" xfId="1378" applyFont="1" applyAlignment="1">
      <alignment horizontal="center" wrapText="1"/>
    </xf>
    <xf numFmtId="0" fontId="4" fillId="0" borderId="5" xfId="1378" applyFont="1" applyBorder="1" applyAlignment="1">
      <alignment horizontal="center" wrapText="1"/>
    </xf>
    <xf numFmtId="0" fontId="4" fillId="0" borderId="1" xfId="1378" applyFont="1" applyBorder="1" applyAlignment="1">
      <alignment horizontal="center" wrapText="1"/>
    </xf>
    <xf numFmtId="0" fontId="112" fillId="0" borderId="29" xfId="1378" applyFont="1" applyBorder="1" applyAlignment="1">
      <alignment horizontal="center" wrapText="1"/>
    </xf>
    <xf numFmtId="168" fontId="112" fillId="0" borderId="29" xfId="1378" applyNumberFormat="1" applyFont="1" applyBorder="1" applyAlignment="1">
      <alignment horizontal="center" wrapText="1"/>
    </xf>
    <xf numFmtId="168" fontId="112" fillId="0" borderId="0" xfId="1378" applyNumberFormat="1" applyFont="1" applyAlignment="1">
      <alignment horizontal="center" wrapText="1"/>
    </xf>
    <xf numFmtId="0" fontId="112" fillId="0" borderId="0" xfId="1378" applyFont="1" applyAlignment="1">
      <alignment horizontal="center" wrapText="1"/>
    </xf>
    <xf numFmtId="1" fontId="113" fillId="64" borderId="0" xfId="1378" applyNumberFormat="1" applyFont="1" applyFill="1" applyAlignment="1">
      <alignment horizontal="center"/>
    </xf>
    <xf numFmtId="164" fontId="113" fillId="64" borderId="0" xfId="1378" applyNumberFormat="1" applyFont="1" applyFill="1"/>
    <xf numFmtId="1" fontId="113" fillId="0" borderId="0" xfId="1378" applyNumberFormat="1" applyFont="1" applyAlignment="1">
      <alignment horizontal="center"/>
    </xf>
    <xf numFmtId="164" fontId="113" fillId="0" borderId="0" xfId="1378" applyNumberFormat="1" applyFont="1"/>
    <xf numFmtId="164" fontId="113" fillId="65" borderId="0" xfId="1378" applyNumberFormat="1" applyFont="1" applyFill="1"/>
    <xf numFmtId="176" fontId="113" fillId="0" borderId="0" xfId="553" applyNumberFormat="1" applyFont="1" applyFill="1" applyBorder="1" applyAlignment="1">
      <alignment horizontal="right"/>
    </xf>
    <xf numFmtId="176" fontId="113" fillId="0" borderId="0" xfId="553" applyNumberFormat="1" applyFont="1" applyFill="1" applyBorder="1"/>
    <xf numFmtId="164" fontId="114" fillId="0" borderId="0" xfId="1378" applyNumberFormat="1" applyFont="1"/>
    <xf numFmtId="41" fontId="3" fillId="0" borderId="0" xfId="1378" applyNumberFormat="1" applyFont="1" applyAlignment="1">
      <alignment horizontal="center"/>
    </xf>
    <xf numFmtId="41" fontId="3" fillId="0" borderId="0" xfId="1378" applyNumberFormat="1" applyFont="1"/>
    <xf numFmtId="165" fontId="114" fillId="0" borderId="0" xfId="1378" applyNumberFormat="1" applyFont="1"/>
    <xf numFmtId="0" fontId="115" fillId="0" borderId="0" xfId="1378" applyFont="1"/>
    <xf numFmtId="42" fontId="113" fillId="0" borderId="2" xfId="1378" applyNumberFormat="1" applyFont="1" applyBorder="1" applyAlignment="1">
      <alignment horizontal="center"/>
    </xf>
    <xf numFmtId="42" fontId="113" fillId="0" borderId="0" xfId="1378" applyNumberFormat="1" applyFont="1" applyAlignment="1">
      <alignment horizontal="center"/>
    </xf>
    <xf numFmtId="0" fontId="121" fillId="0" borderId="0" xfId="0" applyFont="1"/>
    <xf numFmtId="0" fontId="115" fillId="0" borderId="0" xfId="1378" applyFont="1" applyAlignment="1">
      <alignment horizontal="center"/>
    </xf>
    <xf numFmtId="164" fontId="86" fillId="0" borderId="0" xfId="1378" applyNumberFormat="1" applyFont="1"/>
    <xf numFmtId="0" fontId="0" fillId="0" borderId="0" xfId="1934" applyFont="1" applyFill="1"/>
    <xf numFmtId="0" fontId="123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4" fillId="0" borderId="1" xfId="1378" applyFont="1" applyFill="1" applyBorder="1" applyAlignment="1">
      <alignment horizontal="center"/>
    </xf>
    <xf numFmtId="0" fontId="4" fillId="0" borderId="1" xfId="1378" applyFont="1" applyBorder="1" applyAlignment="1">
      <alignment horizontal="center"/>
    </xf>
    <xf numFmtId="0" fontId="0" fillId="0" borderId="19" xfId="0" applyBorder="1"/>
    <xf numFmtId="0" fontId="108" fillId="72" borderId="0" xfId="1523" applyFont="1" applyFill="1" applyBorder="1" applyAlignment="1">
      <alignment horizontal="center"/>
    </xf>
    <xf numFmtId="0" fontId="122" fillId="0" borderId="0" xfId="0" quotePrefix="1" applyFont="1" applyAlignment="1">
      <alignment horizontal="center"/>
    </xf>
    <xf numFmtId="0" fontId="108" fillId="0" borderId="0" xfId="1523" applyFont="1" applyFill="1" applyBorder="1" applyAlignment="1">
      <alignment horizontal="center"/>
    </xf>
    <xf numFmtId="0" fontId="117" fillId="0" borderId="0" xfId="0" applyFont="1" applyAlignment="1">
      <alignment horizontal="center"/>
    </xf>
    <xf numFmtId="0" fontId="118" fillId="0" borderId="0" xfId="0" applyFont="1" applyAlignment="1">
      <alignment horizontal="center"/>
    </xf>
  </cellXfs>
  <cellStyles count="29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 6" xfId="7" xr:uid="{00000000-0005-0000-0000-000006000000}"/>
    <cellStyle name="20% - Accent1 2 7" xfId="8" xr:uid="{00000000-0005-0000-0000-000007000000}"/>
    <cellStyle name="20% - Accent1 2 7 2" xfId="2002" xr:uid="{272A3EAE-651C-4D1F-851B-B0A585A465CD}"/>
    <cellStyle name="20% - Accent1 2 8" xfId="9" xr:uid="{00000000-0005-0000-0000-000008000000}"/>
    <cellStyle name="20% - Accent1 2 8 2" xfId="2003" xr:uid="{F0F8C3CD-46AA-4211-93C4-C9ACF4BD4B8F}"/>
    <cellStyle name="20% - Accent1 2 9" xfId="2001" xr:uid="{B39A7F5A-7798-4A46-96E8-62EA83651B84}"/>
    <cellStyle name="20% - Accent1 3" xfId="10" xr:uid="{00000000-0005-0000-0000-000009000000}"/>
    <cellStyle name="20% - Accent1 3 2" xfId="2004" xr:uid="{6687B8B1-7807-4639-B579-93B4E5EA4CBA}"/>
    <cellStyle name="20% - Accent1 4" xfId="11" xr:uid="{00000000-0005-0000-0000-00000A000000}"/>
    <cellStyle name="20% - Accent1 4 2" xfId="2005" xr:uid="{80C8B683-0FE1-4C44-9D99-9E9704034F69}"/>
    <cellStyle name="20% - Accent1 5" xfId="1989" xr:uid="{53927FF0-EAD5-44FC-B257-6517820F5203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2 4" xfId="16" xr:uid="{00000000-0005-0000-0000-00000F000000}"/>
    <cellStyle name="20% - Accent2 2 5" xfId="17" xr:uid="{00000000-0005-0000-0000-000010000000}"/>
    <cellStyle name="20% - Accent2 2 6" xfId="18" xr:uid="{00000000-0005-0000-0000-000011000000}"/>
    <cellStyle name="20% - Accent2 2 7" xfId="19" xr:uid="{00000000-0005-0000-0000-000012000000}"/>
    <cellStyle name="20% - Accent2 2 7 2" xfId="2007" xr:uid="{AFCFED84-231D-4549-AECB-495C00BB5C8E}"/>
    <cellStyle name="20% - Accent2 2 8" xfId="20" xr:uid="{00000000-0005-0000-0000-000013000000}"/>
    <cellStyle name="20% - Accent2 2 8 2" xfId="2008" xr:uid="{F03B4EE0-F1AF-45DD-8A6F-41365B2FF94A}"/>
    <cellStyle name="20% - Accent2 2 9" xfId="2006" xr:uid="{A9C1673A-62B2-41A6-833F-7A0A74374669}"/>
    <cellStyle name="20% - Accent2 3" xfId="21" xr:uid="{00000000-0005-0000-0000-000014000000}"/>
    <cellStyle name="20% - Accent2 3 2" xfId="2009" xr:uid="{D768EA6C-BC36-42AE-861A-77525D1DA4FC}"/>
    <cellStyle name="20% - Accent2 4" xfId="22" xr:uid="{00000000-0005-0000-0000-000015000000}"/>
    <cellStyle name="20% - Accent2 4 2" xfId="2010" xr:uid="{D111FBE7-BF5D-4CFF-B385-6BC97CE7CA43}"/>
    <cellStyle name="20% - Accent2 5" xfId="1991" xr:uid="{25B6D115-103D-4FE8-BE3C-DBF9F9AAF0E6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2 4" xfId="27" xr:uid="{00000000-0005-0000-0000-00001A000000}"/>
    <cellStyle name="20% - Accent3 2 5" xfId="28" xr:uid="{00000000-0005-0000-0000-00001B000000}"/>
    <cellStyle name="20% - Accent3 2 6" xfId="29" xr:uid="{00000000-0005-0000-0000-00001C000000}"/>
    <cellStyle name="20% - Accent3 2 7" xfId="30" xr:uid="{00000000-0005-0000-0000-00001D000000}"/>
    <cellStyle name="20% - Accent3 2 7 2" xfId="2012" xr:uid="{6EF27B8D-A756-4E04-9BD6-FAE465274F1B}"/>
    <cellStyle name="20% - Accent3 2 8" xfId="31" xr:uid="{00000000-0005-0000-0000-00001E000000}"/>
    <cellStyle name="20% - Accent3 2 8 2" xfId="2013" xr:uid="{CB5A7BEF-D1F8-47EC-AFFA-1D169B917D6B}"/>
    <cellStyle name="20% - Accent3 2 9" xfId="2011" xr:uid="{8510EAD1-B5A4-4B07-86AC-73A8D46F205E}"/>
    <cellStyle name="20% - Accent3 3" xfId="32" xr:uid="{00000000-0005-0000-0000-00001F000000}"/>
    <cellStyle name="20% - Accent3 3 2" xfId="2014" xr:uid="{F8F9828D-C911-460B-9D52-B33DAAAC339B}"/>
    <cellStyle name="20% - Accent3 4" xfId="33" xr:uid="{00000000-0005-0000-0000-000020000000}"/>
    <cellStyle name="20% - Accent3 4 2" xfId="2015" xr:uid="{2655F41E-01B5-41F3-9CBD-39F190F3C4C0}"/>
    <cellStyle name="20% - Accent3 5" xfId="1993" xr:uid="{51E1ACC0-2A08-4E9E-9CDD-633AAC97DE84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2 4" xfId="38" xr:uid="{00000000-0005-0000-0000-000025000000}"/>
    <cellStyle name="20% - Accent4 2 5" xfId="39" xr:uid="{00000000-0005-0000-0000-000026000000}"/>
    <cellStyle name="20% - Accent4 2 6" xfId="40" xr:uid="{00000000-0005-0000-0000-000027000000}"/>
    <cellStyle name="20% - Accent4 2 7" xfId="41" xr:uid="{00000000-0005-0000-0000-000028000000}"/>
    <cellStyle name="20% - Accent4 2 7 2" xfId="2017" xr:uid="{E17FDBB8-31B2-41F2-A713-19C02BCEAB96}"/>
    <cellStyle name="20% - Accent4 2 8" xfId="42" xr:uid="{00000000-0005-0000-0000-000029000000}"/>
    <cellStyle name="20% - Accent4 2 8 2" xfId="2018" xr:uid="{43318B48-5622-4532-9CDD-CB3EA31C908E}"/>
    <cellStyle name="20% - Accent4 2 9" xfId="2016" xr:uid="{D901DC54-51D6-4FC8-8702-3C82C1C7C5CE}"/>
    <cellStyle name="20% - Accent4 3" xfId="43" xr:uid="{00000000-0005-0000-0000-00002A000000}"/>
    <cellStyle name="20% - Accent4 3 2" xfId="2019" xr:uid="{4D089A5C-3D47-4615-AA0A-9A1551BC1D82}"/>
    <cellStyle name="20% - Accent4 4" xfId="44" xr:uid="{00000000-0005-0000-0000-00002B000000}"/>
    <cellStyle name="20% - Accent4 4 2" xfId="2020" xr:uid="{945DAF90-E0F1-48BC-B102-7C9648F1F4B9}"/>
    <cellStyle name="20% - Accent4 5" xfId="1995" xr:uid="{A2370469-8670-4AC6-85AA-B42987B66D09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2 4" xfId="49" xr:uid="{00000000-0005-0000-0000-000030000000}"/>
    <cellStyle name="20% - Accent5 2 4 2" xfId="2022" xr:uid="{C3E2DD07-DD2B-411C-86D0-F8DA7B8B079F}"/>
    <cellStyle name="20% - Accent5 2 5" xfId="50" xr:uid="{00000000-0005-0000-0000-000031000000}"/>
    <cellStyle name="20% - Accent5 2 5 2" xfId="2023" xr:uid="{96D30802-FC41-438D-8306-3A2C56BF1CC8}"/>
    <cellStyle name="20% - Accent5 2 6" xfId="2021" xr:uid="{BB407018-2DAE-472F-893D-93EC0208766E}"/>
    <cellStyle name="20% - Accent5 3" xfId="51" xr:uid="{00000000-0005-0000-0000-000032000000}"/>
    <cellStyle name="20% - Accent5 3 2" xfId="2024" xr:uid="{7EE73BB5-6C2D-4627-A68D-B9C422A31576}"/>
    <cellStyle name="20% - Accent5 4" xfId="52" xr:uid="{00000000-0005-0000-0000-000033000000}"/>
    <cellStyle name="20% - Accent5 4 2" xfId="2025" xr:uid="{DE0E9D01-BC2E-48D0-AFB9-3E5BDDC0EC53}"/>
    <cellStyle name="20% - Accent5 5" xfId="1997" xr:uid="{5AF63C94-99D9-4337-B126-7629EF736541}"/>
    <cellStyle name="20% - Accent6" xfId="53" builtinId="50" customBuiltin="1"/>
    <cellStyle name="20% - Accent6 2" xfId="54" xr:uid="{00000000-0005-0000-0000-000035000000}"/>
    <cellStyle name="20% - Accent6 2 2" xfId="55" xr:uid="{00000000-0005-0000-0000-000036000000}"/>
    <cellStyle name="20% - Accent6 2 3" xfId="56" xr:uid="{00000000-0005-0000-0000-000037000000}"/>
    <cellStyle name="20% - Accent6 2 4" xfId="57" xr:uid="{00000000-0005-0000-0000-000038000000}"/>
    <cellStyle name="20% - Accent6 2 5" xfId="58" xr:uid="{00000000-0005-0000-0000-000039000000}"/>
    <cellStyle name="20% - Accent6 2 6" xfId="59" xr:uid="{00000000-0005-0000-0000-00003A000000}"/>
    <cellStyle name="20% - Accent6 2 7" xfId="60" xr:uid="{00000000-0005-0000-0000-00003B000000}"/>
    <cellStyle name="20% - Accent6 2 7 2" xfId="2027" xr:uid="{62606F7C-0661-4283-8733-FD98ACDFE457}"/>
    <cellStyle name="20% - Accent6 2 8" xfId="61" xr:uid="{00000000-0005-0000-0000-00003C000000}"/>
    <cellStyle name="20% - Accent6 2 8 2" xfId="2028" xr:uid="{D68A23C0-5012-44AA-83ED-36DD60EDA31D}"/>
    <cellStyle name="20% - Accent6 2 9" xfId="2026" xr:uid="{762A8D7F-324D-4365-B4A8-B5455BCD9D09}"/>
    <cellStyle name="20% - Accent6 3" xfId="62" xr:uid="{00000000-0005-0000-0000-00003D000000}"/>
    <cellStyle name="20% - Accent6 3 2" xfId="2029" xr:uid="{16A09C1D-7AA0-45E7-A1BB-D11AE32DB76D}"/>
    <cellStyle name="20% - Accent6 4" xfId="63" xr:uid="{00000000-0005-0000-0000-00003E000000}"/>
    <cellStyle name="20% - Accent6 4 2" xfId="2030" xr:uid="{B374A063-13A7-4014-8EC8-6127B5A02BD9}"/>
    <cellStyle name="20% - Accent6 5" xfId="1999" xr:uid="{1FD8BF82-FBB4-4D07-929D-46E29CFF8467}"/>
    <cellStyle name="40% - Accent1" xfId="64" builtinId="31" customBuiltin="1"/>
    <cellStyle name="40% - Accent1 2" xfId="65" xr:uid="{00000000-0005-0000-0000-000040000000}"/>
    <cellStyle name="40% - Accent1 2 2" xfId="66" xr:uid="{00000000-0005-0000-0000-000041000000}"/>
    <cellStyle name="40% - Accent1 2 3" xfId="67" xr:uid="{00000000-0005-0000-0000-000042000000}"/>
    <cellStyle name="40% - Accent1 2 4" xfId="68" xr:uid="{00000000-0005-0000-0000-000043000000}"/>
    <cellStyle name="40% - Accent1 2 5" xfId="69" xr:uid="{00000000-0005-0000-0000-000044000000}"/>
    <cellStyle name="40% - Accent1 2 6" xfId="70" xr:uid="{00000000-0005-0000-0000-000045000000}"/>
    <cellStyle name="40% - Accent1 2 7" xfId="71" xr:uid="{00000000-0005-0000-0000-000046000000}"/>
    <cellStyle name="40% - Accent1 2 7 2" xfId="2032" xr:uid="{173D488D-6A08-4030-951D-8ACEE86C66BC}"/>
    <cellStyle name="40% - Accent1 2 8" xfId="72" xr:uid="{00000000-0005-0000-0000-000047000000}"/>
    <cellStyle name="40% - Accent1 2 8 2" xfId="2033" xr:uid="{03E2E97E-30AA-46C9-AC8A-1AE9376657BD}"/>
    <cellStyle name="40% - Accent1 2 9" xfId="2031" xr:uid="{B1DFFC7D-73E1-4708-AFF8-7A792E0A7874}"/>
    <cellStyle name="40% - Accent1 3" xfId="73" xr:uid="{00000000-0005-0000-0000-000048000000}"/>
    <cellStyle name="40% - Accent1 3 2" xfId="2034" xr:uid="{72C9C65F-3FA8-47A3-BA20-F8C788987FCE}"/>
    <cellStyle name="40% - Accent1 4" xfId="74" xr:uid="{00000000-0005-0000-0000-000049000000}"/>
    <cellStyle name="40% - Accent1 4 2" xfId="2035" xr:uid="{36AFD6B8-C9E1-41DA-8E64-4A9EC5977D98}"/>
    <cellStyle name="40% - Accent1 5" xfId="1990" xr:uid="{D8F18FF7-CAAA-4B6B-BA72-CC7082AA4160}"/>
    <cellStyle name="40% - Accent2" xfId="75" builtinId="35" customBuiltin="1"/>
    <cellStyle name="40% - Accent2 2" xfId="76" xr:uid="{00000000-0005-0000-0000-00004B000000}"/>
    <cellStyle name="40% - Accent2 2 2" xfId="77" xr:uid="{00000000-0005-0000-0000-00004C000000}"/>
    <cellStyle name="40% - Accent2 2 3" xfId="78" xr:uid="{00000000-0005-0000-0000-00004D000000}"/>
    <cellStyle name="40% - Accent2 2 4" xfId="79" xr:uid="{00000000-0005-0000-0000-00004E000000}"/>
    <cellStyle name="40% - Accent2 2 4 2" xfId="2037" xr:uid="{7970D094-D667-4C80-A5FB-B2F7D9F4836F}"/>
    <cellStyle name="40% - Accent2 2 5" xfId="80" xr:uid="{00000000-0005-0000-0000-00004F000000}"/>
    <cellStyle name="40% - Accent2 2 5 2" xfId="2038" xr:uid="{AA13C8A2-41DB-4C4F-9066-1EBD632C4C76}"/>
    <cellStyle name="40% - Accent2 2 6" xfId="2036" xr:uid="{E65A0B02-F9E6-4A59-9252-AD7E01988353}"/>
    <cellStyle name="40% - Accent2 3" xfId="81" xr:uid="{00000000-0005-0000-0000-000050000000}"/>
    <cellStyle name="40% - Accent2 3 2" xfId="2039" xr:uid="{ACE84FB3-1ABD-4B84-9BBB-3C071521CA01}"/>
    <cellStyle name="40% - Accent2 4" xfId="82" xr:uid="{00000000-0005-0000-0000-000051000000}"/>
    <cellStyle name="40% - Accent2 4 2" xfId="2040" xr:uid="{D292A440-4619-43C5-9F2F-FB257AED3355}"/>
    <cellStyle name="40% - Accent2 5" xfId="1992" xr:uid="{E1974EE8-1F46-472C-92FE-8DFA52D7BD33}"/>
    <cellStyle name="40% - Accent3" xfId="83" builtinId="39" customBuiltin="1"/>
    <cellStyle name="40% - Accent3 2" xfId="84" xr:uid="{00000000-0005-0000-0000-000053000000}"/>
    <cellStyle name="40% - Accent3 2 2" xfId="85" xr:uid="{00000000-0005-0000-0000-000054000000}"/>
    <cellStyle name="40% - Accent3 2 3" xfId="86" xr:uid="{00000000-0005-0000-0000-000055000000}"/>
    <cellStyle name="40% - Accent3 2 4" xfId="87" xr:uid="{00000000-0005-0000-0000-000056000000}"/>
    <cellStyle name="40% - Accent3 2 5" xfId="88" xr:uid="{00000000-0005-0000-0000-000057000000}"/>
    <cellStyle name="40% - Accent3 2 6" xfId="89" xr:uid="{00000000-0005-0000-0000-000058000000}"/>
    <cellStyle name="40% - Accent3 2 7" xfId="90" xr:uid="{00000000-0005-0000-0000-000059000000}"/>
    <cellStyle name="40% - Accent3 2 7 2" xfId="2042" xr:uid="{101812F3-E93D-4E9D-AF33-04B2525DBB40}"/>
    <cellStyle name="40% - Accent3 2 8" xfId="91" xr:uid="{00000000-0005-0000-0000-00005A000000}"/>
    <cellStyle name="40% - Accent3 2 8 2" xfId="2043" xr:uid="{32031DE9-8C40-4016-80FF-5DC5DFDDE173}"/>
    <cellStyle name="40% - Accent3 2 9" xfId="2041" xr:uid="{88DD925F-A71E-48EB-9396-172E6F27F867}"/>
    <cellStyle name="40% - Accent3 3" xfId="92" xr:uid="{00000000-0005-0000-0000-00005B000000}"/>
    <cellStyle name="40% - Accent3 3 2" xfId="2044" xr:uid="{551DBABD-9D37-4750-A454-B782E7A9B859}"/>
    <cellStyle name="40% - Accent3 4" xfId="93" xr:uid="{00000000-0005-0000-0000-00005C000000}"/>
    <cellStyle name="40% - Accent3 4 2" xfId="2045" xr:uid="{6CEEEAB8-E374-4045-9D0E-AAE3F7C14423}"/>
    <cellStyle name="40% - Accent3 5" xfId="1994" xr:uid="{6560F4DC-DB7F-4874-9CA6-5EDD4C144378}"/>
    <cellStyle name="40% - Accent4" xfId="94" builtinId="43" customBuiltin="1"/>
    <cellStyle name="40% - Accent4 2" xfId="95" xr:uid="{00000000-0005-0000-0000-00005E000000}"/>
    <cellStyle name="40% - Accent4 2 2" xfId="96" xr:uid="{00000000-0005-0000-0000-00005F000000}"/>
    <cellStyle name="40% - Accent4 2 3" xfId="97" xr:uid="{00000000-0005-0000-0000-000060000000}"/>
    <cellStyle name="40% - Accent4 2 4" xfId="98" xr:uid="{00000000-0005-0000-0000-000061000000}"/>
    <cellStyle name="40% - Accent4 2 5" xfId="99" xr:uid="{00000000-0005-0000-0000-000062000000}"/>
    <cellStyle name="40% - Accent4 2 6" xfId="100" xr:uid="{00000000-0005-0000-0000-000063000000}"/>
    <cellStyle name="40% - Accent4 2 7" xfId="101" xr:uid="{00000000-0005-0000-0000-000064000000}"/>
    <cellStyle name="40% - Accent4 2 7 2" xfId="2047" xr:uid="{D73225B6-7E98-4FE8-97B3-27A609C5AA70}"/>
    <cellStyle name="40% - Accent4 2 8" xfId="102" xr:uid="{00000000-0005-0000-0000-000065000000}"/>
    <cellStyle name="40% - Accent4 2 8 2" xfId="2048" xr:uid="{A64348E5-6326-4CE2-B905-C7D646C7DE27}"/>
    <cellStyle name="40% - Accent4 2 9" xfId="2046" xr:uid="{C0A9CC6C-C793-4B47-ADA6-167B23304B26}"/>
    <cellStyle name="40% - Accent4 3" xfId="103" xr:uid="{00000000-0005-0000-0000-000066000000}"/>
    <cellStyle name="40% - Accent4 3 2" xfId="2049" xr:uid="{52C3D277-E8B5-47C9-B799-948C68542F16}"/>
    <cellStyle name="40% - Accent4 4" xfId="104" xr:uid="{00000000-0005-0000-0000-000067000000}"/>
    <cellStyle name="40% - Accent4 4 2" xfId="2050" xr:uid="{F2003968-88F5-41C4-8130-142F49F03230}"/>
    <cellStyle name="40% - Accent4 5" xfId="1996" xr:uid="{C0EC2AB4-FF57-4D07-BB48-5C2D7DCB8A11}"/>
    <cellStyle name="40% - Accent5" xfId="105" builtinId="47" customBuiltin="1"/>
    <cellStyle name="40% - Accent5 2" xfId="106" xr:uid="{00000000-0005-0000-0000-000069000000}"/>
    <cellStyle name="40% - Accent5 2 2" xfId="107" xr:uid="{00000000-0005-0000-0000-00006A000000}"/>
    <cellStyle name="40% - Accent5 2 3" xfId="108" xr:uid="{00000000-0005-0000-0000-00006B000000}"/>
    <cellStyle name="40% - Accent5 2 4" xfId="109" xr:uid="{00000000-0005-0000-0000-00006C000000}"/>
    <cellStyle name="40% - Accent5 2 5" xfId="110" xr:uid="{00000000-0005-0000-0000-00006D000000}"/>
    <cellStyle name="40% - Accent5 2 6" xfId="111" xr:uid="{00000000-0005-0000-0000-00006E000000}"/>
    <cellStyle name="40% - Accent5 2 7" xfId="112" xr:uid="{00000000-0005-0000-0000-00006F000000}"/>
    <cellStyle name="40% - Accent5 2 7 2" xfId="2052" xr:uid="{72FF1888-8DF1-4BAC-B62A-3F76AA0C5F4D}"/>
    <cellStyle name="40% - Accent5 2 8" xfId="113" xr:uid="{00000000-0005-0000-0000-000070000000}"/>
    <cellStyle name="40% - Accent5 2 8 2" xfId="2053" xr:uid="{57CDB239-0771-422A-85DF-62D0B715E70E}"/>
    <cellStyle name="40% - Accent5 2 9" xfId="2051" xr:uid="{99F676D9-279A-4B6F-8F62-7770F4959833}"/>
    <cellStyle name="40% - Accent5 3" xfId="114" xr:uid="{00000000-0005-0000-0000-000071000000}"/>
    <cellStyle name="40% - Accent5 3 2" xfId="2054" xr:uid="{DC009AD2-2403-4003-902D-C7E107AAABE6}"/>
    <cellStyle name="40% - Accent5 4" xfId="115" xr:uid="{00000000-0005-0000-0000-000072000000}"/>
    <cellStyle name="40% - Accent5 4 2" xfId="2055" xr:uid="{D6E98F81-4E12-498E-AB4F-FF3B860C1C6E}"/>
    <cellStyle name="40% - Accent5 5" xfId="1998" xr:uid="{28C71E18-B472-4C9D-A246-26E0AF1D8B02}"/>
    <cellStyle name="40% - Accent6" xfId="116" builtinId="51" customBuiltin="1"/>
    <cellStyle name="40% - Accent6 2" xfId="117" xr:uid="{00000000-0005-0000-0000-000074000000}"/>
    <cellStyle name="40% - Accent6 2 2" xfId="118" xr:uid="{00000000-0005-0000-0000-000075000000}"/>
    <cellStyle name="40% - Accent6 2 3" xfId="119" xr:uid="{00000000-0005-0000-0000-000076000000}"/>
    <cellStyle name="40% - Accent6 2 4" xfId="120" xr:uid="{00000000-0005-0000-0000-000077000000}"/>
    <cellStyle name="40% - Accent6 2 5" xfId="121" xr:uid="{00000000-0005-0000-0000-000078000000}"/>
    <cellStyle name="40% - Accent6 2 6" xfId="122" xr:uid="{00000000-0005-0000-0000-000079000000}"/>
    <cellStyle name="40% - Accent6 2 7" xfId="123" xr:uid="{00000000-0005-0000-0000-00007A000000}"/>
    <cellStyle name="40% - Accent6 2 7 2" xfId="2057" xr:uid="{1B79CD20-AB62-47EE-838F-91E526A3F564}"/>
    <cellStyle name="40% - Accent6 2 8" xfId="124" xr:uid="{00000000-0005-0000-0000-00007B000000}"/>
    <cellStyle name="40% - Accent6 2 8 2" xfId="2058" xr:uid="{38BA4C1C-3B56-4BF7-AA98-3513748DF7CD}"/>
    <cellStyle name="40% - Accent6 2 9" xfId="2056" xr:uid="{0C6F97A9-CF2E-432E-A4A3-81F03F0239F8}"/>
    <cellStyle name="40% - Accent6 3" xfId="125" xr:uid="{00000000-0005-0000-0000-00007C000000}"/>
    <cellStyle name="40% - Accent6 3 2" xfId="2059" xr:uid="{EE26EA8D-AD9E-4D6C-81C6-70F5760181DF}"/>
    <cellStyle name="40% - Accent6 4" xfId="126" xr:uid="{00000000-0005-0000-0000-00007D000000}"/>
    <cellStyle name="40% - Accent6 4 2" xfId="2060" xr:uid="{3168C682-09FB-45D5-9E65-1CB9FC03DD8A}"/>
    <cellStyle name="40% - Accent6 5" xfId="2000" xr:uid="{2DC748CA-B066-4E65-BC03-A26A8AE2FC32}"/>
    <cellStyle name="60% - Accent1" xfId="127" builtinId="32" customBuiltin="1"/>
    <cellStyle name="60% - Accent1 2" xfId="128" xr:uid="{00000000-0005-0000-0000-00007F000000}"/>
    <cellStyle name="60% - Accent1 2 2" xfId="129" xr:uid="{00000000-0005-0000-0000-000080000000}"/>
    <cellStyle name="60% - Accent1 2 3" xfId="130" xr:uid="{00000000-0005-0000-0000-000081000000}"/>
    <cellStyle name="60% - Accent1 2 4" xfId="131" xr:uid="{00000000-0005-0000-0000-000082000000}"/>
    <cellStyle name="60% - Accent1 3" xfId="1947" xr:uid="{02F06786-8C95-4E48-90E1-8E0F0643DF30}"/>
    <cellStyle name="60% - Accent2" xfId="132" builtinId="36" customBuiltin="1"/>
    <cellStyle name="60% - Accent2 2" xfId="133" xr:uid="{00000000-0005-0000-0000-000084000000}"/>
    <cellStyle name="60% - Accent2 2 2" xfId="134" xr:uid="{00000000-0005-0000-0000-000085000000}"/>
    <cellStyle name="60% - Accent2 2 3" xfId="135" xr:uid="{00000000-0005-0000-0000-000086000000}"/>
    <cellStyle name="60% - Accent2 2 4" xfId="136" xr:uid="{00000000-0005-0000-0000-000087000000}"/>
    <cellStyle name="60% - Accent2 3" xfId="1948" xr:uid="{0A99EBAD-3B05-4FFC-A65C-9DA373C5B8BD}"/>
    <cellStyle name="60% - Accent3" xfId="137" builtinId="40" customBuiltin="1"/>
    <cellStyle name="60% - Accent3 2" xfId="138" xr:uid="{00000000-0005-0000-0000-000089000000}"/>
    <cellStyle name="60% - Accent3 2 2" xfId="139" xr:uid="{00000000-0005-0000-0000-00008A000000}"/>
    <cellStyle name="60% - Accent3 2 3" xfId="140" xr:uid="{00000000-0005-0000-0000-00008B000000}"/>
    <cellStyle name="60% - Accent3 2 4" xfId="141" xr:uid="{00000000-0005-0000-0000-00008C000000}"/>
    <cellStyle name="60% - Accent3 3" xfId="1949" xr:uid="{1562D516-388F-46C6-BE39-7F5D2244D7B8}"/>
    <cellStyle name="60% - Accent4" xfId="142" builtinId="44" customBuiltin="1"/>
    <cellStyle name="60% - Accent4 2" xfId="143" xr:uid="{00000000-0005-0000-0000-00008E000000}"/>
    <cellStyle name="60% - Accent4 2 2" xfId="144" xr:uid="{00000000-0005-0000-0000-00008F000000}"/>
    <cellStyle name="60% - Accent4 2 3" xfId="145" xr:uid="{00000000-0005-0000-0000-000090000000}"/>
    <cellStyle name="60% - Accent4 2 4" xfId="146" xr:uid="{00000000-0005-0000-0000-000091000000}"/>
    <cellStyle name="60% - Accent4 3" xfId="1950" xr:uid="{5B591C13-604D-4680-BC52-61924A935C60}"/>
    <cellStyle name="60% - Accent5" xfId="147" builtinId="48" customBuiltin="1"/>
    <cellStyle name="60% - Accent5 2" xfId="148" xr:uid="{00000000-0005-0000-0000-000093000000}"/>
    <cellStyle name="60% - Accent5 2 2" xfId="149" xr:uid="{00000000-0005-0000-0000-000094000000}"/>
    <cellStyle name="60% - Accent5 2 3" xfId="150" xr:uid="{00000000-0005-0000-0000-000095000000}"/>
    <cellStyle name="60% - Accent5 2 4" xfId="151" xr:uid="{00000000-0005-0000-0000-000096000000}"/>
    <cellStyle name="60% - Accent5 3" xfId="1951" xr:uid="{C4431B95-F2CB-416A-B274-C685C407138C}"/>
    <cellStyle name="60% - Accent6" xfId="152" builtinId="52" customBuiltin="1"/>
    <cellStyle name="60% - Accent6 2" xfId="153" xr:uid="{00000000-0005-0000-0000-000098000000}"/>
    <cellStyle name="60% - Accent6 2 2" xfId="154" xr:uid="{00000000-0005-0000-0000-000099000000}"/>
    <cellStyle name="60% - Accent6 2 3" xfId="155" xr:uid="{00000000-0005-0000-0000-00009A000000}"/>
    <cellStyle name="60% - Accent6 2 4" xfId="156" xr:uid="{00000000-0005-0000-0000-00009B000000}"/>
    <cellStyle name="60% - Accent6 3" xfId="1952" xr:uid="{77986320-431C-43FB-A7F0-61945F27193C}"/>
    <cellStyle name="Accent1" xfId="157" builtinId="29" customBuiltin="1"/>
    <cellStyle name="Accent1 2" xfId="158" xr:uid="{00000000-0005-0000-0000-00009D000000}"/>
    <cellStyle name="Accent1 2 2" xfId="159" xr:uid="{00000000-0005-0000-0000-00009E000000}"/>
    <cellStyle name="Accent1 2 3" xfId="160" xr:uid="{00000000-0005-0000-0000-00009F000000}"/>
    <cellStyle name="Accent1 2 4" xfId="161" xr:uid="{00000000-0005-0000-0000-0000A0000000}"/>
    <cellStyle name="Accent2" xfId="162" builtinId="33" customBuiltin="1"/>
    <cellStyle name="Accent2 2" xfId="163" xr:uid="{00000000-0005-0000-0000-0000A2000000}"/>
    <cellStyle name="Accent2 2 2" xfId="164" xr:uid="{00000000-0005-0000-0000-0000A3000000}"/>
    <cellStyle name="Accent2 2 3" xfId="165" xr:uid="{00000000-0005-0000-0000-0000A4000000}"/>
    <cellStyle name="Accent2 2 4" xfId="166" xr:uid="{00000000-0005-0000-0000-0000A5000000}"/>
    <cellStyle name="Accent3" xfId="167" builtinId="37" customBuiltin="1"/>
    <cellStyle name="Accent3 2" xfId="168" xr:uid="{00000000-0005-0000-0000-0000A7000000}"/>
    <cellStyle name="Accent3 2 2" xfId="169" xr:uid="{00000000-0005-0000-0000-0000A8000000}"/>
    <cellStyle name="Accent3 2 3" xfId="170" xr:uid="{00000000-0005-0000-0000-0000A9000000}"/>
    <cellStyle name="Accent3 2 4" xfId="171" xr:uid="{00000000-0005-0000-0000-0000AA000000}"/>
    <cellStyle name="Accent4" xfId="172" builtinId="41" customBuiltin="1"/>
    <cellStyle name="Accent4 2" xfId="173" xr:uid="{00000000-0005-0000-0000-0000AC000000}"/>
    <cellStyle name="Accent4 2 2" xfId="174" xr:uid="{00000000-0005-0000-0000-0000AD000000}"/>
    <cellStyle name="Accent4 2 3" xfId="175" xr:uid="{00000000-0005-0000-0000-0000AE000000}"/>
    <cellStyle name="Accent4 2 4" xfId="176" xr:uid="{00000000-0005-0000-0000-0000AF000000}"/>
    <cellStyle name="Accent5" xfId="177" builtinId="45" customBuiltin="1"/>
    <cellStyle name="Accent5 2" xfId="178" xr:uid="{00000000-0005-0000-0000-0000B1000000}"/>
    <cellStyle name="Accent6" xfId="179" builtinId="49" customBuiltin="1"/>
    <cellStyle name="Accent6 2" xfId="180" xr:uid="{00000000-0005-0000-0000-0000B3000000}"/>
    <cellStyle name="Accent6 2 2" xfId="181" xr:uid="{00000000-0005-0000-0000-0000B4000000}"/>
    <cellStyle name="Accent6 2 3" xfId="182" xr:uid="{00000000-0005-0000-0000-0000B5000000}"/>
    <cellStyle name="Accent6 2 4" xfId="183" xr:uid="{00000000-0005-0000-0000-0000B6000000}"/>
    <cellStyle name="AccountClassificationTotalRowBalanceCol" xfId="184" xr:uid="{00000000-0005-0000-0000-0000B7000000}"/>
    <cellStyle name="AccountClassificationTotalRowDescCol" xfId="185" xr:uid="{00000000-0005-0000-0000-0000B8000000}"/>
    <cellStyle name="AccountClassificationTotalRowJERefCol" xfId="186" xr:uid="{00000000-0005-0000-0000-0000B9000000}"/>
    <cellStyle name="AccountClassificationTotalRowNameCol" xfId="187" xr:uid="{00000000-0005-0000-0000-0000BA000000}"/>
    <cellStyle name="AccountClassificationTotalRowSpacerCol" xfId="188" xr:uid="{00000000-0005-0000-0000-0000BB000000}"/>
    <cellStyle name="AccountClassificationTotalRowVarPectCol" xfId="189" xr:uid="{00000000-0005-0000-0000-0000BC000000}"/>
    <cellStyle name="AccountClassificationTotalRowWPRefCol" xfId="190" xr:uid="{00000000-0005-0000-0000-0000BD000000}"/>
    <cellStyle name="AccountDetailRowBalanceCol" xfId="191" xr:uid="{00000000-0005-0000-0000-0000BE000000}"/>
    <cellStyle name="AccountDetailRowBalanceColNegative" xfId="192" xr:uid="{00000000-0005-0000-0000-0000BF000000}"/>
    <cellStyle name="AccountDetailRowDescCol" xfId="193" xr:uid="{00000000-0005-0000-0000-0000C0000000}"/>
    <cellStyle name="AccountDetailRowJERefCol" xfId="194" xr:uid="{00000000-0005-0000-0000-0000C1000000}"/>
    <cellStyle name="AccountDetailRowNameCol" xfId="195" xr:uid="{00000000-0005-0000-0000-0000C2000000}"/>
    <cellStyle name="AccountDetailRowSpacerCol" xfId="196" xr:uid="{00000000-0005-0000-0000-0000C3000000}"/>
    <cellStyle name="AccountDetailRowVarPectCol" xfId="197" xr:uid="{00000000-0005-0000-0000-0000C4000000}"/>
    <cellStyle name="AccountDetailRowWPRefCol" xfId="198" xr:uid="{00000000-0005-0000-0000-0000C5000000}"/>
    <cellStyle name="AccountNetIncomeLossRowBalanceCol" xfId="199" xr:uid="{00000000-0005-0000-0000-0000C6000000}"/>
    <cellStyle name="AccountNetIncomeLossRowDescCol" xfId="200" xr:uid="{00000000-0005-0000-0000-0000C7000000}"/>
    <cellStyle name="AccountNetIncomeLossRowJERefCol" xfId="201" xr:uid="{00000000-0005-0000-0000-0000C8000000}"/>
    <cellStyle name="AccountNetIncomeLossRowNameCol" xfId="202" xr:uid="{00000000-0005-0000-0000-0000C9000000}"/>
    <cellStyle name="AccountNetIncomeLossRowSpacerCol" xfId="203" xr:uid="{00000000-0005-0000-0000-0000CA000000}"/>
    <cellStyle name="AccountNetIncomeLossRowWPRefCol" xfId="204" xr:uid="{00000000-0005-0000-0000-0000CB000000}"/>
    <cellStyle name="AccountTotalBalanceCol" xfId="205" xr:uid="{00000000-0005-0000-0000-0000CC000000}"/>
    <cellStyle name="AccountTotalDescCol" xfId="206" xr:uid="{00000000-0005-0000-0000-0000CD000000}"/>
    <cellStyle name="AccountTotalDetailRowBalanceCol" xfId="207" xr:uid="{00000000-0005-0000-0000-0000CE000000}"/>
    <cellStyle name="AccountTotalDetailRowDescCol" xfId="208" xr:uid="{00000000-0005-0000-0000-0000CF000000}"/>
    <cellStyle name="AccountTotalDetailRowJERefCol" xfId="209" xr:uid="{00000000-0005-0000-0000-0000D0000000}"/>
    <cellStyle name="AccountTotalDetailRowNameCol" xfId="210" xr:uid="{00000000-0005-0000-0000-0000D1000000}"/>
    <cellStyle name="AccountTotalDetailRowSpacerCol" xfId="211" xr:uid="{00000000-0005-0000-0000-0000D2000000}"/>
    <cellStyle name="AccountTotalDetailRowVarPectCol" xfId="212" xr:uid="{00000000-0005-0000-0000-0000D3000000}"/>
    <cellStyle name="AccountTotalDetailRowWPRefCol" xfId="213" xr:uid="{00000000-0005-0000-0000-0000D4000000}"/>
    <cellStyle name="AccountTotalJERefCol" xfId="214" xr:uid="{00000000-0005-0000-0000-0000D5000000}"/>
    <cellStyle name="AccountTotalNameCol" xfId="215" xr:uid="{00000000-0005-0000-0000-0000D6000000}"/>
    <cellStyle name="AccountTotalVarPectCol" xfId="216" xr:uid="{00000000-0005-0000-0000-0000D7000000}"/>
    <cellStyle name="AccountTotalWPRefCol" xfId="217" xr:uid="{00000000-0005-0000-0000-0000D8000000}"/>
    <cellStyle name="AccountTypeTotalRowBalanceCol" xfId="218" xr:uid="{00000000-0005-0000-0000-0000D9000000}"/>
    <cellStyle name="AccountTypeTotalRowDescCol" xfId="219" xr:uid="{00000000-0005-0000-0000-0000DA000000}"/>
    <cellStyle name="AccountTypeTotalRowJERefCol" xfId="220" xr:uid="{00000000-0005-0000-0000-0000DB000000}"/>
    <cellStyle name="AccountTypeTotalRowNameCol" xfId="221" xr:uid="{00000000-0005-0000-0000-0000DC000000}"/>
    <cellStyle name="AccountTypeTotalRowSpacerCol" xfId="222" xr:uid="{00000000-0005-0000-0000-0000DD000000}"/>
    <cellStyle name="AccountTypeTotalRowVarPectCol" xfId="223" xr:uid="{00000000-0005-0000-0000-0000DE000000}"/>
    <cellStyle name="AccountTypeTotalRowWPRefCol" xfId="224" xr:uid="{00000000-0005-0000-0000-0000DF000000}"/>
    <cellStyle name="Amount" xfId="225" xr:uid="{00000000-0005-0000-0000-0000E0000000}"/>
    <cellStyle name="Amt_Percent Ctr" xfId="226" xr:uid="{00000000-0005-0000-0000-0000E1000000}"/>
    <cellStyle name="Bad" xfId="227" builtinId="27" customBuiltin="1"/>
    <cellStyle name="Bad 2" xfId="228" xr:uid="{00000000-0005-0000-0000-0000E3000000}"/>
    <cellStyle name="Bad 2 2" xfId="229" xr:uid="{00000000-0005-0000-0000-0000E4000000}"/>
    <cellStyle name="Bad 2 3" xfId="230" xr:uid="{00000000-0005-0000-0000-0000E5000000}"/>
    <cellStyle name="Bad 2 4" xfId="231" xr:uid="{00000000-0005-0000-0000-0000E6000000}"/>
    <cellStyle name="BlankRow" xfId="232" xr:uid="{00000000-0005-0000-0000-0000E7000000}"/>
    <cellStyle name="BlankRowJERefCol" xfId="233" xr:uid="{00000000-0005-0000-0000-0000E8000000}"/>
    <cellStyle name="BlueInt" xfId="1919" xr:uid="{B473BAC9-E499-45A7-AD81-4A0EEE3F33FA}"/>
    <cellStyle name="Calculation" xfId="234" builtinId="22" customBuiltin="1"/>
    <cellStyle name="Calculation 2" xfId="235" xr:uid="{00000000-0005-0000-0000-0000EA000000}"/>
    <cellStyle name="Calculation 2 2" xfId="236" xr:uid="{00000000-0005-0000-0000-0000EB000000}"/>
    <cellStyle name="Calculation 2 3" xfId="237" xr:uid="{00000000-0005-0000-0000-0000EC000000}"/>
    <cellStyle name="Calculation 2 4" xfId="238" xr:uid="{00000000-0005-0000-0000-0000ED000000}"/>
    <cellStyle name="CBF$Number" xfId="239" xr:uid="{00000000-0005-0000-0000-0000EE000000}"/>
    <cellStyle name="CBFFundName" xfId="240" xr:uid="{00000000-0005-0000-0000-0000EF000000}"/>
    <cellStyle name="CBFHeader" xfId="241" xr:uid="{00000000-0005-0000-0000-0000F0000000}"/>
    <cellStyle name="CBFNumber" xfId="242" xr:uid="{00000000-0005-0000-0000-0000F1000000}"/>
    <cellStyle name="CBFSectionTitle" xfId="243" xr:uid="{00000000-0005-0000-0000-0000F2000000}"/>
    <cellStyle name="CBFSectionTotal" xfId="244" xr:uid="{00000000-0005-0000-0000-0000F3000000}"/>
    <cellStyle name="CBFText" xfId="245" xr:uid="{00000000-0005-0000-0000-0000F4000000}"/>
    <cellStyle name="Centered Heading_Saurer balance sheet 98" xfId="1920" xr:uid="{2F98ADF6-5910-492F-8A08-F9D0A665478C}"/>
    <cellStyle name="CenterHead" xfId="246" xr:uid="{00000000-0005-0000-0000-0000F5000000}"/>
    <cellStyle name="Check Cell" xfId="247" builtinId="23" customBuiltin="1"/>
    <cellStyle name="Check Cell 2" xfId="248" xr:uid="{00000000-0005-0000-0000-0000F7000000}"/>
    <cellStyle name="ClassifiedGroupTotalRowBalanceCol" xfId="249" xr:uid="{00000000-0005-0000-0000-0000F8000000}"/>
    <cellStyle name="ClassifiedGroupTotalRowDescCol" xfId="250" xr:uid="{00000000-0005-0000-0000-0000F9000000}"/>
    <cellStyle name="ClassifiedGroupTotalRowJERefCol" xfId="251" xr:uid="{00000000-0005-0000-0000-0000FA000000}"/>
    <cellStyle name="ClassifiedGroupTotalRowNameCol" xfId="252" xr:uid="{00000000-0005-0000-0000-0000FB000000}"/>
    <cellStyle name="ClassifiedGroupTotalRowSpacerCol" xfId="253" xr:uid="{00000000-0005-0000-0000-0000FC000000}"/>
    <cellStyle name="ClassifiedGroupTotalRowVarPectCol" xfId="254" xr:uid="{00000000-0005-0000-0000-0000FD000000}"/>
    <cellStyle name="ClassifiedGroupTotalRowWPRefCol" xfId="255" xr:uid="{00000000-0005-0000-0000-0000FE000000}"/>
    <cellStyle name="Column CtrAcross" xfId="256" xr:uid="{00000000-0005-0000-0000-0000FF000000}"/>
    <cellStyle name="Column_Center" xfId="257" xr:uid="{00000000-0005-0000-0000-000000010000}"/>
    <cellStyle name="ColumnHeader" xfId="258" xr:uid="{00000000-0005-0000-0000-000001010000}"/>
    <cellStyle name="ColumnHeaderRowBalanceCol" xfId="259" xr:uid="{00000000-0005-0000-0000-000002010000}"/>
    <cellStyle name="ColumnHeaderRowBlankCol" xfId="260" xr:uid="{00000000-0005-0000-0000-000003010000}"/>
    <cellStyle name="ColumnHeaderRowCreditCol" xfId="261" xr:uid="{00000000-0005-0000-0000-000004010000}"/>
    <cellStyle name="ColumnHeaderRowDebitCol" xfId="262" xr:uid="{00000000-0005-0000-0000-000005010000}"/>
    <cellStyle name="ColumnHeaderRowDescCol" xfId="263" xr:uid="{00000000-0005-0000-0000-000006010000}"/>
    <cellStyle name="ColumnHeaderRowJERefCol" xfId="264" xr:uid="{00000000-0005-0000-0000-000007010000}"/>
    <cellStyle name="ColumnHeaderRowNameCol" xfId="265" xr:uid="{00000000-0005-0000-0000-000008010000}"/>
    <cellStyle name="ColumnHeaderRowSpacerCol" xfId="266" xr:uid="{00000000-0005-0000-0000-000009010000}"/>
    <cellStyle name="ColumnHeaderRowVarPectCol" xfId="267" xr:uid="{00000000-0005-0000-0000-00000A010000}"/>
    <cellStyle name="ColumnHeaderRowWPRefCol" xfId="268" xr:uid="{00000000-0005-0000-0000-00000B010000}"/>
    <cellStyle name="ColumnMetadataRowBalanceCol" xfId="269" xr:uid="{00000000-0005-0000-0000-00000C010000}"/>
    <cellStyle name="ColumnMetadataRowDescCol" xfId="270" xr:uid="{00000000-0005-0000-0000-00000D010000}"/>
    <cellStyle name="ColumnMetadataRowJERefCol" xfId="271" xr:uid="{00000000-0005-0000-0000-00000E010000}"/>
    <cellStyle name="ColumnMetadataRowNameCol" xfId="272" xr:uid="{00000000-0005-0000-0000-00000F010000}"/>
    <cellStyle name="ColumnMetadataRowSpacerCol" xfId="273" xr:uid="{00000000-0005-0000-0000-000010010000}"/>
    <cellStyle name="ColumnMetadataRowVarPectCol" xfId="274" xr:uid="{00000000-0005-0000-0000-000011010000}"/>
    <cellStyle name="ColumnMetadataRowWPRefCol" xfId="275" xr:uid="{00000000-0005-0000-0000-000012010000}"/>
    <cellStyle name="Comma" xfId="276" builtinId="3"/>
    <cellStyle name="Comma %" xfId="277" xr:uid="{00000000-0005-0000-0000-000014010000}"/>
    <cellStyle name="Comma 0.0" xfId="278" xr:uid="{00000000-0005-0000-0000-000015010000}"/>
    <cellStyle name="Comma 0.00" xfId="279" xr:uid="{00000000-0005-0000-0000-000016010000}"/>
    <cellStyle name="Comma 10" xfId="280" xr:uid="{00000000-0005-0000-0000-000017010000}"/>
    <cellStyle name="Comma 10 2" xfId="281" xr:uid="{00000000-0005-0000-0000-000018010000}"/>
    <cellStyle name="Comma 10 2 2" xfId="282" xr:uid="{00000000-0005-0000-0000-000019010000}"/>
    <cellStyle name="Comma 11" xfId="283" xr:uid="{00000000-0005-0000-0000-00001A010000}"/>
    <cellStyle name="Comma 11 2" xfId="284" xr:uid="{00000000-0005-0000-0000-00001B010000}"/>
    <cellStyle name="Comma 11 3" xfId="285" xr:uid="{00000000-0005-0000-0000-00001C010000}"/>
    <cellStyle name="Comma 12" xfId="286" xr:uid="{00000000-0005-0000-0000-00001D010000}"/>
    <cellStyle name="Comma 13" xfId="287" xr:uid="{00000000-0005-0000-0000-00001E010000}"/>
    <cellStyle name="Comma 13 2" xfId="288" xr:uid="{00000000-0005-0000-0000-00001F010000}"/>
    <cellStyle name="Comma 14" xfId="289" xr:uid="{00000000-0005-0000-0000-000020010000}"/>
    <cellStyle name="Comma 14 2" xfId="290" xr:uid="{00000000-0005-0000-0000-000021010000}"/>
    <cellStyle name="Comma 14 2 2" xfId="291" xr:uid="{00000000-0005-0000-0000-000022010000}"/>
    <cellStyle name="Comma 14 2 2 2" xfId="292" xr:uid="{00000000-0005-0000-0000-000023010000}"/>
    <cellStyle name="Comma 14 2 2 2 2" xfId="293" xr:uid="{00000000-0005-0000-0000-000024010000}"/>
    <cellStyle name="Comma 14 2 2 2 2 2" xfId="2065" xr:uid="{BE744C20-7D71-48C2-9FD8-7E13533DFF3F}"/>
    <cellStyle name="Comma 14 2 2 2 3" xfId="2064" xr:uid="{B0C7D728-9BBE-456D-A98F-58BD1CDB781F}"/>
    <cellStyle name="Comma 14 2 2 3" xfId="294" xr:uid="{00000000-0005-0000-0000-000025010000}"/>
    <cellStyle name="Comma 14 2 2 3 2" xfId="2066" xr:uid="{14CA8F78-C8FB-46F9-A493-708809185F93}"/>
    <cellStyle name="Comma 14 2 2 4" xfId="2063" xr:uid="{777099E7-3AE3-40DE-9ED0-59B57920D7BA}"/>
    <cellStyle name="Comma 14 2 3" xfId="295" xr:uid="{00000000-0005-0000-0000-000026010000}"/>
    <cellStyle name="Comma 14 2 3 2" xfId="296" xr:uid="{00000000-0005-0000-0000-000027010000}"/>
    <cellStyle name="Comma 14 2 3 2 2" xfId="2068" xr:uid="{FB33C752-370B-4788-B72B-9A33825AE112}"/>
    <cellStyle name="Comma 14 2 3 3" xfId="2067" xr:uid="{18282648-446A-4E63-89EB-79FF5FD83687}"/>
    <cellStyle name="Comma 14 2 4" xfId="297" xr:uid="{00000000-0005-0000-0000-000028010000}"/>
    <cellStyle name="Comma 14 2 4 2" xfId="298" xr:uid="{00000000-0005-0000-0000-000029010000}"/>
    <cellStyle name="Comma 14 2 4 2 2" xfId="2070" xr:uid="{AC1DDDFD-BD32-4DDD-84D6-3EE1072DE8B0}"/>
    <cellStyle name="Comma 14 2 4 3" xfId="2069" xr:uid="{A3C3E83E-2451-4074-902D-862142E8645A}"/>
    <cellStyle name="Comma 14 2 5" xfId="299" xr:uid="{00000000-0005-0000-0000-00002A010000}"/>
    <cellStyle name="Comma 14 2 5 2" xfId="2071" xr:uid="{27299D6A-57A0-4EBB-9C43-B148F78BC773}"/>
    <cellStyle name="Comma 14 2 6" xfId="2062" xr:uid="{09CEA4A8-EE12-447F-A9DB-E95554AD31A3}"/>
    <cellStyle name="Comma 14 3" xfId="300" xr:uid="{00000000-0005-0000-0000-00002B010000}"/>
    <cellStyle name="Comma 14 3 2" xfId="301" xr:uid="{00000000-0005-0000-0000-00002C010000}"/>
    <cellStyle name="Comma 14 3 2 2" xfId="302" xr:uid="{00000000-0005-0000-0000-00002D010000}"/>
    <cellStyle name="Comma 14 3 2 2 2" xfId="2074" xr:uid="{D3399A52-9699-49F1-8BFC-26F0ECCDF2B3}"/>
    <cellStyle name="Comma 14 3 2 3" xfId="2073" xr:uid="{2D5220D9-E471-48B9-8F0C-4446C56C59E2}"/>
    <cellStyle name="Comma 14 3 3" xfId="303" xr:uid="{00000000-0005-0000-0000-00002E010000}"/>
    <cellStyle name="Comma 14 3 3 2" xfId="304" xr:uid="{00000000-0005-0000-0000-00002F010000}"/>
    <cellStyle name="Comma 14 3 3 2 2" xfId="2076" xr:uid="{9E36E75A-301F-4AFF-996B-929E0D16E33C}"/>
    <cellStyle name="Comma 14 3 3 3" xfId="2075" xr:uid="{6A6063FD-67AF-4B76-84D3-174938064BD3}"/>
    <cellStyle name="Comma 14 3 4" xfId="305" xr:uid="{00000000-0005-0000-0000-000030010000}"/>
    <cellStyle name="Comma 14 3 4 2" xfId="2077" xr:uid="{610C0FC7-736B-4D63-A765-2B2C5F875D7D}"/>
    <cellStyle name="Comma 14 3 5" xfId="2072" xr:uid="{47155C75-1ACC-4D6A-9811-FFEF6B9DBC5B}"/>
    <cellStyle name="Comma 14 4" xfId="306" xr:uid="{00000000-0005-0000-0000-000031010000}"/>
    <cellStyle name="Comma 14 4 2" xfId="307" xr:uid="{00000000-0005-0000-0000-000032010000}"/>
    <cellStyle name="Comma 14 4 2 2" xfId="308" xr:uid="{00000000-0005-0000-0000-000033010000}"/>
    <cellStyle name="Comma 14 4 2 2 2" xfId="2080" xr:uid="{51B3EDA4-6A57-4858-86ED-914442DD96CA}"/>
    <cellStyle name="Comma 14 4 2 3" xfId="2079" xr:uid="{B823AC87-A187-4695-A74E-2E070F14DF7A}"/>
    <cellStyle name="Comma 14 4 3" xfId="309" xr:uid="{00000000-0005-0000-0000-000034010000}"/>
    <cellStyle name="Comma 14 4 3 2" xfId="2081" xr:uid="{8B929D03-A833-464F-8CAC-A9CCB67DBB20}"/>
    <cellStyle name="Comma 14 4 4" xfId="2078" xr:uid="{F283F9A6-328A-4740-8E19-3903ABEE86D1}"/>
    <cellStyle name="Comma 14 5" xfId="310" xr:uid="{00000000-0005-0000-0000-000035010000}"/>
    <cellStyle name="Comma 14 5 2" xfId="311" xr:uid="{00000000-0005-0000-0000-000036010000}"/>
    <cellStyle name="Comma 14 5 2 2" xfId="2083" xr:uid="{DB4F1CB9-7BFB-4364-AA03-85E1A5B03A19}"/>
    <cellStyle name="Comma 14 5 3" xfId="2082" xr:uid="{F9089312-CADB-4838-8F60-2C56985A2415}"/>
    <cellStyle name="Comma 14 6" xfId="312" xr:uid="{00000000-0005-0000-0000-000037010000}"/>
    <cellStyle name="Comma 14 6 2" xfId="313" xr:uid="{00000000-0005-0000-0000-000038010000}"/>
    <cellStyle name="Comma 14 6 2 2" xfId="2085" xr:uid="{628E2191-09EE-4884-BFD1-51C6BB334054}"/>
    <cellStyle name="Comma 14 6 3" xfId="2084" xr:uid="{8CAF37E5-FBB8-45AA-B508-7499B2B2DCC8}"/>
    <cellStyle name="Comma 14 7" xfId="314" xr:uid="{00000000-0005-0000-0000-000039010000}"/>
    <cellStyle name="Comma 14 7 2" xfId="2086" xr:uid="{6D6A5929-A31F-44CD-9B0F-1968CBFCA458}"/>
    <cellStyle name="Comma 14 8" xfId="2061" xr:uid="{37C197F8-CD3F-4CFB-88A9-264BC0D6B6D9}"/>
    <cellStyle name="Comma 15" xfId="315" xr:uid="{00000000-0005-0000-0000-00003A010000}"/>
    <cellStyle name="Comma 15 2" xfId="316" xr:uid="{00000000-0005-0000-0000-00003B010000}"/>
    <cellStyle name="Comma 15 2 2" xfId="317" xr:uid="{00000000-0005-0000-0000-00003C010000}"/>
    <cellStyle name="Comma 15 2 2 2" xfId="2089" xr:uid="{4C7BFB6F-2D9D-4F18-A951-70D7A53D4259}"/>
    <cellStyle name="Comma 15 2 3" xfId="2088" xr:uid="{CE6494CB-37B5-4BE5-9A56-1ADB97564CB8}"/>
    <cellStyle name="Comma 15 3" xfId="318" xr:uid="{00000000-0005-0000-0000-00003D010000}"/>
    <cellStyle name="Comma 15 3 2" xfId="2090" xr:uid="{9DA98A1E-5C8F-4C27-84E1-2D9170CE2840}"/>
    <cellStyle name="Comma 15 4" xfId="2087" xr:uid="{55188234-CABB-40D2-9F24-E3FC918D15A4}"/>
    <cellStyle name="Comma 16" xfId="319" xr:uid="{00000000-0005-0000-0000-00003E010000}"/>
    <cellStyle name="Comma 16 2" xfId="320" xr:uid="{00000000-0005-0000-0000-00003F010000}"/>
    <cellStyle name="Comma 16 2 2" xfId="321" xr:uid="{00000000-0005-0000-0000-000040010000}"/>
    <cellStyle name="Comma 16 2 2 2" xfId="2093" xr:uid="{F0FDF948-83EC-4EF9-8BE8-EFCFDD38A57E}"/>
    <cellStyle name="Comma 16 2 3" xfId="2092" xr:uid="{AD0E8E37-6BA1-413B-96F6-D64095FC0408}"/>
    <cellStyle name="Comma 16 3" xfId="322" xr:uid="{00000000-0005-0000-0000-000041010000}"/>
    <cellStyle name="Comma 16 3 2" xfId="2094" xr:uid="{914C469F-F643-4B4A-AEA8-24731D4169E7}"/>
    <cellStyle name="Comma 16 4" xfId="2091" xr:uid="{19E020CC-6FE3-4A63-9B15-7F23CB7176AC}"/>
    <cellStyle name="Comma 17" xfId="323" xr:uid="{00000000-0005-0000-0000-000042010000}"/>
    <cellStyle name="Comma 17 2" xfId="324" xr:uid="{00000000-0005-0000-0000-000043010000}"/>
    <cellStyle name="Comma 17 2 2" xfId="325" xr:uid="{00000000-0005-0000-0000-000044010000}"/>
    <cellStyle name="Comma 17 2 2 2" xfId="2097" xr:uid="{AFF95E35-EEC1-46D2-92F5-23B63B4A57CE}"/>
    <cellStyle name="Comma 17 2 3" xfId="2096" xr:uid="{B79CFA64-CEA6-43D1-915C-7D7E7D3A14DF}"/>
    <cellStyle name="Comma 17 3" xfId="326" xr:uid="{00000000-0005-0000-0000-000045010000}"/>
    <cellStyle name="Comma 17 3 2" xfId="2098" xr:uid="{3AAE9A0A-E207-4312-91C4-C8DF6325EEA0}"/>
    <cellStyle name="Comma 17 4" xfId="2095" xr:uid="{39814FB2-1FF2-41A6-A0A4-57967C5AB169}"/>
    <cellStyle name="Comma 18" xfId="327" xr:uid="{00000000-0005-0000-0000-000046010000}"/>
    <cellStyle name="Comma 18 2" xfId="328" xr:uid="{00000000-0005-0000-0000-000047010000}"/>
    <cellStyle name="Comma 18 2 2" xfId="329" xr:uid="{00000000-0005-0000-0000-000048010000}"/>
    <cellStyle name="Comma 18 2 2 2" xfId="2101" xr:uid="{E481BEDE-CAF0-4DFA-8A13-CD06C0D0C1D4}"/>
    <cellStyle name="Comma 18 2 3" xfId="2100" xr:uid="{0C6D176A-41D6-4B04-B999-FC650B766B15}"/>
    <cellStyle name="Comma 18 3" xfId="330" xr:uid="{00000000-0005-0000-0000-000049010000}"/>
    <cellStyle name="Comma 18 3 2" xfId="2102" xr:uid="{C6647417-45FC-43B7-8976-A6C8E46ED811}"/>
    <cellStyle name="Comma 18 4" xfId="2099" xr:uid="{C5B37D63-D598-456A-9866-F9B746499965}"/>
    <cellStyle name="Comma 19" xfId="331" xr:uid="{00000000-0005-0000-0000-00004A010000}"/>
    <cellStyle name="Comma 19 2" xfId="332" xr:uid="{00000000-0005-0000-0000-00004B010000}"/>
    <cellStyle name="Comma 19 2 2" xfId="333" xr:uid="{00000000-0005-0000-0000-00004C010000}"/>
    <cellStyle name="Comma 19 2 2 2" xfId="2105" xr:uid="{1C8260E8-2BDC-4970-8C1D-3F6986F45BEF}"/>
    <cellStyle name="Comma 19 2 3" xfId="2104" xr:uid="{34DFF195-FC59-4758-A705-5A5887C98C13}"/>
    <cellStyle name="Comma 19 3" xfId="334" xr:uid="{00000000-0005-0000-0000-00004D010000}"/>
    <cellStyle name="Comma 19 3 2" xfId="2106" xr:uid="{03205044-AB98-4021-BEE0-D3CB601CB2F4}"/>
    <cellStyle name="Comma 19 4" xfId="2103" xr:uid="{8EE4101B-FCB1-476C-AB9A-4B2A2A36C35A}"/>
    <cellStyle name="Comma 2" xfId="335" xr:uid="{00000000-0005-0000-0000-00004E010000}"/>
    <cellStyle name="Comma 2 10" xfId="336" xr:uid="{00000000-0005-0000-0000-00004F010000}"/>
    <cellStyle name="Comma 2 10 2" xfId="337" xr:uid="{00000000-0005-0000-0000-000050010000}"/>
    <cellStyle name="Comma 2 11" xfId="338" xr:uid="{00000000-0005-0000-0000-000051010000}"/>
    <cellStyle name="Comma 2 12" xfId="339" xr:uid="{00000000-0005-0000-0000-000052010000}"/>
    <cellStyle name="Comma 2 12 2" xfId="340" xr:uid="{00000000-0005-0000-0000-000053010000}"/>
    <cellStyle name="Comma 2 13" xfId="341" xr:uid="{00000000-0005-0000-0000-000054010000}"/>
    <cellStyle name="Comma 2 14" xfId="1953" xr:uid="{F9843686-5B5F-431B-9A3B-9F2072595EDF}"/>
    <cellStyle name="Comma 2 2" xfId="342" xr:uid="{00000000-0005-0000-0000-000055010000}"/>
    <cellStyle name="Comma 2 2 2" xfId="343" xr:uid="{00000000-0005-0000-0000-000056010000}"/>
    <cellStyle name="Comma 2 2 2 2" xfId="344" xr:uid="{00000000-0005-0000-0000-000057010000}"/>
    <cellStyle name="Comma 2 2 2 2 2" xfId="345" xr:uid="{00000000-0005-0000-0000-000058010000}"/>
    <cellStyle name="Comma 2 2 2 3" xfId="346" xr:uid="{00000000-0005-0000-0000-000059010000}"/>
    <cellStyle name="Comma 2 2 2 4" xfId="1955" xr:uid="{26D43C94-310F-4950-9FEB-8619002012D7}"/>
    <cellStyle name="Comma 2 2 3" xfId="347" xr:uid="{00000000-0005-0000-0000-00005A010000}"/>
    <cellStyle name="Comma 2 2 3 2" xfId="348" xr:uid="{00000000-0005-0000-0000-00005B010000}"/>
    <cellStyle name="Comma 2 2 3 3" xfId="1944" xr:uid="{A8BD5424-EE5E-4ABE-829A-342E81CA87DE}"/>
    <cellStyle name="Comma 2 2 4" xfId="349" xr:uid="{00000000-0005-0000-0000-00005C010000}"/>
    <cellStyle name="Comma 2 2 4 2" xfId="350" xr:uid="{00000000-0005-0000-0000-00005D010000}"/>
    <cellStyle name="Comma 2 2 5" xfId="351" xr:uid="{00000000-0005-0000-0000-00005E010000}"/>
    <cellStyle name="Comma 2 2 5 2" xfId="352" xr:uid="{00000000-0005-0000-0000-00005F010000}"/>
    <cellStyle name="Comma 2 2 6" xfId="353" xr:uid="{00000000-0005-0000-0000-000060010000}"/>
    <cellStyle name="Comma 2 2 7" xfId="1954" xr:uid="{05C321C9-2E16-435F-849A-CAD00D647EC6}"/>
    <cellStyle name="Comma 2 3" xfId="354" xr:uid="{00000000-0005-0000-0000-000061010000}"/>
    <cellStyle name="Comma 2 3 2" xfId="355" xr:uid="{00000000-0005-0000-0000-000062010000}"/>
    <cellStyle name="Comma 2 3 2 2" xfId="356" xr:uid="{00000000-0005-0000-0000-000063010000}"/>
    <cellStyle name="Comma 2 3 2 3" xfId="357" xr:uid="{00000000-0005-0000-0000-000064010000}"/>
    <cellStyle name="Comma 2 3 2 4" xfId="1957" xr:uid="{C659D6D2-31BF-4CB9-8F46-9FC592A7E980}"/>
    <cellStyle name="Comma 2 3 3" xfId="358" xr:uid="{00000000-0005-0000-0000-000065010000}"/>
    <cellStyle name="Comma 2 3 3 2" xfId="359" xr:uid="{00000000-0005-0000-0000-000066010000}"/>
    <cellStyle name="Comma 2 3 4" xfId="360" xr:uid="{00000000-0005-0000-0000-000067010000}"/>
    <cellStyle name="Comma 2 3 5" xfId="1956" xr:uid="{4D349BDC-073B-40A5-A93B-B4F0ED83CBFE}"/>
    <cellStyle name="Comma 2 4" xfId="361" xr:uid="{00000000-0005-0000-0000-000068010000}"/>
    <cellStyle name="Comma 2 4 2" xfId="362" xr:uid="{00000000-0005-0000-0000-000069010000}"/>
    <cellStyle name="Comma 2 4 2 2" xfId="363" xr:uid="{00000000-0005-0000-0000-00006A010000}"/>
    <cellStyle name="Comma 2 4 3" xfId="1958" xr:uid="{E3D16236-4C3C-48FC-B65E-D1FE7A96F311}"/>
    <cellStyle name="Comma 2 4 4" xfId="2931" xr:uid="{29B84415-EE4A-4431-8EDE-565A7764D083}"/>
    <cellStyle name="Comma 2 4 5" xfId="2953" xr:uid="{1B87FD45-95D3-46B1-A61F-46EE886E0298}"/>
    <cellStyle name="Comma 2 4 6" xfId="1943" xr:uid="{6DC7E2BA-DDCC-4E41-B4BC-72BE8DB28055}"/>
    <cellStyle name="Comma 2 5" xfId="364" xr:uid="{00000000-0005-0000-0000-00006B010000}"/>
    <cellStyle name="Comma 2 5 2" xfId="365" xr:uid="{00000000-0005-0000-0000-00006C010000}"/>
    <cellStyle name="Comma 2 6" xfId="366" xr:uid="{00000000-0005-0000-0000-00006D010000}"/>
    <cellStyle name="Comma 2 7" xfId="367" xr:uid="{00000000-0005-0000-0000-00006E010000}"/>
    <cellStyle name="Comma 2 8" xfId="368" xr:uid="{00000000-0005-0000-0000-00006F010000}"/>
    <cellStyle name="Comma 2 8 2" xfId="369" xr:uid="{00000000-0005-0000-0000-000070010000}"/>
    <cellStyle name="Comma 2 9" xfId="370" xr:uid="{00000000-0005-0000-0000-000071010000}"/>
    <cellStyle name="Comma 2 9 2" xfId="371" xr:uid="{00000000-0005-0000-0000-000072010000}"/>
    <cellStyle name="Comma 20" xfId="372" xr:uid="{00000000-0005-0000-0000-000073010000}"/>
    <cellStyle name="Comma 20 2" xfId="373" xr:uid="{00000000-0005-0000-0000-000074010000}"/>
    <cellStyle name="Comma 21" xfId="374" xr:uid="{00000000-0005-0000-0000-000075010000}"/>
    <cellStyle name="Comma 21 2" xfId="375" xr:uid="{00000000-0005-0000-0000-000076010000}"/>
    <cellStyle name="Comma 22" xfId="376" xr:uid="{00000000-0005-0000-0000-000077010000}"/>
    <cellStyle name="Comma 23" xfId="377" xr:uid="{00000000-0005-0000-0000-000078010000}"/>
    <cellStyle name="Comma 24" xfId="378" xr:uid="{00000000-0005-0000-0000-000079010000}"/>
    <cellStyle name="Comma 25" xfId="379" xr:uid="{00000000-0005-0000-0000-00007A010000}"/>
    <cellStyle name="Comma 26" xfId="380" xr:uid="{00000000-0005-0000-0000-00007B010000}"/>
    <cellStyle name="Comma 27" xfId="381" xr:uid="{00000000-0005-0000-0000-00007C010000}"/>
    <cellStyle name="Comma 28" xfId="382" xr:uid="{00000000-0005-0000-0000-00007D010000}"/>
    <cellStyle name="Comma 29" xfId="1916" xr:uid="{D2014814-B0A5-4CA9-A1F4-EA8B627D89DA}"/>
    <cellStyle name="Comma 29 2" xfId="1945" xr:uid="{48E1512A-7867-478F-83EA-E8405217E389}"/>
    <cellStyle name="Comma 3" xfId="383" xr:uid="{00000000-0005-0000-0000-00007E010000}"/>
    <cellStyle name="Comma 3 2" xfId="384" xr:uid="{00000000-0005-0000-0000-00007F010000}"/>
    <cellStyle name="Comma 3 2 2" xfId="385" xr:uid="{00000000-0005-0000-0000-000080010000}"/>
    <cellStyle name="Comma 3 2 2 2" xfId="386" xr:uid="{00000000-0005-0000-0000-000081010000}"/>
    <cellStyle name="Comma 3 2 3" xfId="387" xr:uid="{00000000-0005-0000-0000-000082010000}"/>
    <cellStyle name="Comma 3 2 3 2" xfId="388" xr:uid="{00000000-0005-0000-0000-000083010000}"/>
    <cellStyle name="Comma 3 2 4" xfId="389" xr:uid="{00000000-0005-0000-0000-000084010000}"/>
    <cellStyle name="Comma 3 2 4 2" xfId="390" xr:uid="{00000000-0005-0000-0000-000085010000}"/>
    <cellStyle name="Comma 3 2 5" xfId="391" xr:uid="{00000000-0005-0000-0000-000086010000}"/>
    <cellStyle name="Comma 3 2 5 2" xfId="392" xr:uid="{00000000-0005-0000-0000-000087010000}"/>
    <cellStyle name="Comma 3 2 6" xfId="393" xr:uid="{00000000-0005-0000-0000-000088010000}"/>
    <cellStyle name="Comma 3 2 7" xfId="394" xr:uid="{00000000-0005-0000-0000-000089010000}"/>
    <cellStyle name="Comma 3 2 8" xfId="395" xr:uid="{00000000-0005-0000-0000-00008A010000}"/>
    <cellStyle name="Comma 3 3" xfId="396" xr:uid="{00000000-0005-0000-0000-00008B010000}"/>
    <cellStyle name="Comma 3 3 2" xfId="397" xr:uid="{00000000-0005-0000-0000-00008C010000}"/>
    <cellStyle name="Comma 3 3 3" xfId="398" xr:uid="{00000000-0005-0000-0000-00008D010000}"/>
    <cellStyle name="Comma 3 3 3 2" xfId="399" xr:uid="{00000000-0005-0000-0000-00008E010000}"/>
    <cellStyle name="Comma 3 4" xfId="400" xr:uid="{00000000-0005-0000-0000-00008F010000}"/>
    <cellStyle name="Comma 3 4 2" xfId="401" xr:uid="{00000000-0005-0000-0000-000090010000}"/>
    <cellStyle name="Comma 3 5" xfId="402" xr:uid="{00000000-0005-0000-0000-000091010000}"/>
    <cellStyle name="Comma 3 6" xfId="403" xr:uid="{00000000-0005-0000-0000-000092010000}"/>
    <cellStyle name="Comma 3 6 2" xfId="404" xr:uid="{00000000-0005-0000-0000-000093010000}"/>
    <cellStyle name="Comma 3 7" xfId="405" xr:uid="{00000000-0005-0000-0000-000094010000}"/>
    <cellStyle name="Comma 3 7 2" xfId="2107" xr:uid="{B29BBF9C-0356-4182-81E3-4881E984C69C}"/>
    <cellStyle name="Comma 3 8" xfId="406" xr:uid="{00000000-0005-0000-0000-000095010000}"/>
    <cellStyle name="Comma 3 9" xfId="1959" xr:uid="{ED6C9409-DAC7-46F3-B943-889430BBAF86}"/>
    <cellStyle name="Comma 30" xfId="1931" xr:uid="{4DCE5678-AD70-46E9-93E9-798C2EE718C8}"/>
    <cellStyle name="Comma 30 2" xfId="1988" xr:uid="{C99046E9-F263-4E15-AD73-94C66EDC1563}"/>
    <cellStyle name="Comma 31" xfId="1933" xr:uid="{94F32F04-3913-4953-8016-7B6928E83AD6}"/>
    <cellStyle name="Comma 31 2" xfId="2917" xr:uid="{E83D8D74-9A87-4AF1-8A1C-0ABD7F4DCF4D}"/>
    <cellStyle name="Comma 32" xfId="1937" xr:uid="{D74FB386-7E9B-4800-894A-9D52B00E0B5E}"/>
    <cellStyle name="Comma 4" xfId="407" xr:uid="{00000000-0005-0000-0000-000096010000}"/>
    <cellStyle name="Comma 4 2" xfId="408" xr:uid="{00000000-0005-0000-0000-000097010000}"/>
    <cellStyle name="Comma 4 2 2" xfId="409" xr:uid="{00000000-0005-0000-0000-000098010000}"/>
    <cellStyle name="Comma 4 2 3" xfId="410" xr:uid="{00000000-0005-0000-0000-000099010000}"/>
    <cellStyle name="Comma 4 2 3 2" xfId="2884" xr:uid="{0200C56F-6124-4AA1-B41C-209C1C87BF65}"/>
    <cellStyle name="Comma 4 3" xfId="411" xr:uid="{00000000-0005-0000-0000-00009A010000}"/>
    <cellStyle name="Comma 4 3 2" xfId="412" xr:uid="{00000000-0005-0000-0000-00009B010000}"/>
    <cellStyle name="Comma 4 3 2 2" xfId="413" xr:uid="{00000000-0005-0000-0000-00009C010000}"/>
    <cellStyle name="Comma 4 3 2 2 2" xfId="414" xr:uid="{00000000-0005-0000-0000-00009D010000}"/>
    <cellStyle name="Comma 4 3 2 2 2 2" xfId="2110" xr:uid="{34221EC9-ED8C-48C2-8992-F73DEEBB2BCA}"/>
    <cellStyle name="Comma 4 3 2 2 3" xfId="2109" xr:uid="{2BB7EF05-1829-48D8-AAFA-799F3B01CBBA}"/>
    <cellStyle name="Comma 4 3 2 3" xfId="415" xr:uid="{00000000-0005-0000-0000-00009E010000}"/>
    <cellStyle name="Comma 4 3 2 3 2" xfId="2111" xr:uid="{1DDBDCC7-FC3D-4CEB-B5A4-D44DDC6EB658}"/>
    <cellStyle name="Comma 4 3 2 4" xfId="2108" xr:uid="{F5CB8A3D-2C5F-42CF-B9A2-FEBED01E6B05}"/>
    <cellStyle name="Comma 4 3 3" xfId="416" xr:uid="{00000000-0005-0000-0000-00009F010000}"/>
    <cellStyle name="Comma 4 4" xfId="417" xr:uid="{00000000-0005-0000-0000-0000A0010000}"/>
    <cellStyle name="Comma 4 5" xfId="418" xr:uid="{00000000-0005-0000-0000-0000A1010000}"/>
    <cellStyle name="Comma 4 5 2" xfId="419" xr:uid="{00000000-0005-0000-0000-0000A2010000}"/>
    <cellStyle name="Comma 4 5 2 2" xfId="2113" xr:uid="{FB1B8939-1B4F-4378-AD50-51D088ECAB60}"/>
    <cellStyle name="Comma 4 5 3" xfId="2112" xr:uid="{439A8961-056C-451B-8D20-07722842C8AA}"/>
    <cellStyle name="Comma 4 6" xfId="420" xr:uid="{00000000-0005-0000-0000-0000A3010000}"/>
    <cellStyle name="Comma 4 7" xfId="1960" xr:uid="{B897C673-F805-476A-BAD4-E832DAA10164}"/>
    <cellStyle name="Comma 4 8" xfId="2912" xr:uid="{4B06A72D-CCDF-43E2-B8C5-536F8F4EEA4A}"/>
    <cellStyle name="Comma 4 9" xfId="2938" xr:uid="{B8F4B999-660E-447E-8CA6-FE11EC391DBB}"/>
    <cellStyle name="Comma 5" xfId="421" xr:uid="{00000000-0005-0000-0000-0000A4010000}"/>
    <cellStyle name="Comma 5 2" xfId="422" xr:uid="{00000000-0005-0000-0000-0000A5010000}"/>
    <cellStyle name="Comma 5 2 2" xfId="423" xr:uid="{00000000-0005-0000-0000-0000A6010000}"/>
    <cellStyle name="Comma 5 2 2 2" xfId="424" xr:uid="{00000000-0005-0000-0000-0000A7010000}"/>
    <cellStyle name="Comma 5 2 2 2 2" xfId="2902" xr:uid="{77A27587-B7CF-474C-81BD-6FFDC641330D}"/>
    <cellStyle name="Comma 5 2 3" xfId="425" xr:uid="{00000000-0005-0000-0000-0000A8010000}"/>
    <cellStyle name="Comma 5 2 3 2" xfId="2890" xr:uid="{C863E76E-2456-4CD5-948E-FDBD22103AF8}"/>
    <cellStyle name="Comma 5 2 4" xfId="426" xr:uid="{00000000-0005-0000-0000-0000A9010000}"/>
    <cellStyle name="Comma 5 2 5" xfId="2923" xr:uid="{594D4630-BCF4-4BFA-A0CE-B0E1B6D5DCF8}"/>
    <cellStyle name="Comma 5 2 6" xfId="2944" xr:uid="{F89D43B3-9578-4B85-BA1B-584BE5564860}"/>
    <cellStyle name="Comma 5 3" xfId="427" xr:uid="{00000000-0005-0000-0000-0000AA010000}"/>
    <cellStyle name="Comma 5 3 2" xfId="428" xr:uid="{00000000-0005-0000-0000-0000AB010000}"/>
    <cellStyle name="Comma 5 3 3" xfId="429" xr:uid="{00000000-0005-0000-0000-0000AC010000}"/>
    <cellStyle name="Comma 5 4" xfId="430" xr:uid="{00000000-0005-0000-0000-0000AD010000}"/>
    <cellStyle name="Comma 5 5" xfId="431" xr:uid="{00000000-0005-0000-0000-0000AE010000}"/>
    <cellStyle name="Comma 5 5 2" xfId="432" xr:uid="{00000000-0005-0000-0000-0000AF010000}"/>
    <cellStyle name="Comma 5 6" xfId="433" xr:uid="{00000000-0005-0000-0000-0000B0010000}"/>
    <cellStyle name="Comma 5 7" xfId="1961" xr:uid="{EE9AABF9-6E5C-4CC2-AAA5-A616FE21B428}"/>
    <cellStyle name="Comma 6" xfId="434" xr:uid="{00000000-0005-0000-0000-0000B1010000}"/>
    <cellStyle name="Comma 6 10" xfId="1962" xr:uid="{848A7CD9-7E46-4E8A-BEE3-9B2A1AB12641}"/>
    <cellStyle name="Comma 6 11" xfId="2114" xr:uid="{3E399022-B01F-45C9-8B9F-EC8F7CE8A4FD}"/>
    <cellStyle name="Comma 6 12" xfId="2925" xr:uid="{7D74613C-D193-42F8-907A-536BFA4795FC}"/>
    <cellStyle name="Comma 6 13" xfId="2946" xr:uid="{765B13F0-488A-40E0-B082-6B416D9E786F}"/>
    <cellStyle name="Comma 6 2" xfId="435" xr:uid="{00000000-0005-0000-0000-0000B2010000}"/>
    <cellStyle name="Comma 6 2 2" xfId="436" xr:uid="{00000000-0005-0000-0000-0000B3010000}"/>
    <cellStyle name="Comma 6 2 2 2" xfId="437" xr:uid="{00000000-0005-0000-0000-0000B4010000}"/>
    <cellStyle name="Comma 6 2 3" xfId="438" xr:uid="{00000000-0005-0000-0000-0000B5010000}"/>
    <cellStyle name="Comma 6 2 4" xfId="439" xr:uid="{00000000-0005-0000-0000-0000B6010000}"/>
    <cellStyle name="Comma 6 2 4 2" xfId="2116" xr:uid="{CEABE865-ACB9-45E2-A97F-E18F33F19916}"/>
    <cellStyle name="Comma 6 2 5" xfId="440" xr:uid="{00000000-0005-0000-0000-0000B7010000}"/>
    <cellStyle name="Comma 6 2 5 2" xfId="2117" xr:uid="{1A37A99B-ACF0-418E-BF61-31E6AF82D03D}"/>
    <cellStyle name="Comma 6 2 6" xfId="2115" xr:uid="{5C281367-0358-4F50-8C29-16A2A6FB59C8}"/>
    <cellStyle name="Comma 6 3" xfId="441" xr:uid="{00000000-0005-0000-0000-0000B8010000}"/>
    <cellStyle name="Comma 6 3 2" xfId="442" xr:uid="{00000000-0005-0000-0000-0000B9010000}"/>
    <cellStyle name="Comma 6 3 2 2" xfId="443" xr:uid="{00000000-0005-0000-0000-0000BA010000}"/>
    <cellStyle name="Comma 6 4" xfId="444" xr:uid="{00000000-0005-0000-0000-0000BB010000}"/>
    <cellStyle name="Comma 6 5" xfId="445" xr:uid="{00000000-0005-0000-0000-0000BC010000}"/>
    <cellStyle name="Comma 6 5 2" xfId="446" xr:uid="{00000000-0005-0000-0000-0000BD010000}"/>
    <cellStyle name="Comma 6 6" xfId="447" xr:uid="{00000000-0005-0000-0000-0000BE010000}"/>
    <cellStyle name="Comma 6 7" xfId="448" xr:uid="{00000000-0005-0000-0000-0000BF010000}"/>
    <cellStyle name="Comma 6 8" xfId="449" xr:uid="{00000000-0005-0000-0000-0000C0010000}"/>
    <cellStyle name="Comma 6 8 2" xfId="2118" xr:uid="{8DFF5168-47EA-4466-8417-892A38C846D8}"/>
    <cellStyle name="Comma 6 9" xfId="450" xr:uid="{00000000-0005-0000-0000-0000C1010000}"/>
    <cellStyle name="Comma 6 9 2" xfId="2119" xr:uid="{B1244455-AC88-498F-88C6-7FA4C61AC0B2}"/>
    <cellStyle name="Comma 7" xfId="451" xr:uid="{00000000-0005-0000-0000-0000C2010000}"/>
    <cellStyle name="Comma 7 2" xfId="452" xr:uid="{00000000-0005-0000-0000-0000C3010000}"/>
    <cellStyle name="Comma 7 2 2" xfId="453" xr:uid="{00000000-0005-0000-0000-0000C4010000}"/>
    <cellStyle name="Comma 7 2 2 2" xfId="2905" xr:uid="{72086AC2-28A5-4DC3-B794-A09D54EA2439}"/>
    <cellStyle name="Comma 7 3" xfId="454" xr:uid="{00000000-0005-0000-0000-0000C5010000}"/>
    <cellStyle name="Comma 7 4" xfId="455" xr:uid="{00000000-0005-0000-0000-0000C6010000}"/>
    <cellStyle name="Comma 7 4 2" xfId="2893" xr:uid="{2C66D222-06D6-45EE-8167-69C612E4EEAB}"/>
    <cellStyle name="Comma 7 5" xfId="1963" xr:uid="{B0FA89D3-3F3F-46F2-A98B-72BB867A03E5}"/>
    <cellStyle name="Comma 7 6" xfId="2927" xr:uid="{0F2C6E7E-FD55-4FD2-9878-DC18CA640694}"/>
    <cellStyle name="Comma 7 7" xfId="2948" xr:uid="{3D60902C-C66B-45A1-BAB5-7C2696E5E26A}"/>
    <cellStyle name="Comma 8" xfId="456" xr:uid="{00000000-0005-0000-0000-0000C7010000}"/>
    <cellStyle name="Comma 8 2" xfId="457" xr:uid="{00000000-0005-0000-0000-0000C8010000}"/>
    <cellStyle name="Comma 8 2 2" xfId="458" xr:uid="{00000000-0005-0000-0000-0000C9010000}"/>
    <cellStyle name="Comma 8 2 2 2" xfId="459" xr:uid="{00000000-0005-0000-0000-0000CA010000}"/>
    <cellStyle name="Comma 8 2 2 2 2" xfId="460" xr:uid="{00000000-0005-0000-0000-0000CB010000}"/>
    <cellStyle name="Comma 8 2 2 2 2 2" xfId="461" xr:uid="{00000000-0005-0000-0000-0000CC010000}"/>
    <cellStyle name="Comma 8 2 2 2 2 2 2" xfId="2124" xr:uid="{C3843E6F-911F-4472-899D-EEF3E56F888F}"/>
    <cellStyle name="Comma 8 2 2 2 2 3" xfId="2123" xr:uid="{BC6071B8-0DEF-4293-896F-328C6E768437}"/>
    <cellStyle name="Comma 8 2 2 2 3" xfId="462" xr:uid="{00000000-0005-0000-0000-0000CD010000}"/>
    <cellStyle name="Comma 8 2 2 2 3 2" xfId="2125" xr:uid="{99C710F3-585F-40BA-AF22-D0A62E718A32}"/>
    <cellStyle name="Comma 8 2 2 2 4" xfId="2122" xr:uid="{F3EB37AC-9539-42ED-8686-B7AA03352D17}"/>
    <cellStyle name="Comma 8 2 2 3" xfId="463" xr:uid="{00000000-0005-0000-0000-0000CE010000}"/>
    <cellStyle name="Comma 8 2 2 3 2" xfId="464" xr:uid="{00000000-0005-0000-0000-0000CF010000}"/>
    <cellStyle name="Comma 8 2 2 3 2 2" xfId="2127" xr:uid="{D9AA91F1-2CE9-44FB-AFEA-9DBF609260C1}"/>
    <cellStyle name="Comma 8 2 2 3 3" xfId="2126" xr:uid="{1DF5CEFD-F27E-4C95-BD3C-A1278276D3D6}"/>
    <cellStyle name="Comma 8 2 2 4" xfId="465" xr:uid="{00000000-0005-0000-0000-0000D0010000}"/>
    <cellStyle name="Comma 8 2 2 4 2" xfId="466" xr:uid="{00000000-0005-0000-0000-0000D1010000}"/>
    <cellStyle name="Comma 8 2 2 4 2 2" xfId="2129" xr:uid="{7BFF8079-828D-4387-BB1A-982C1B1DB9FE}"/>
    <cellStyle name="Comma 8 2 2 4 3" xfId="2128" xr:uid="{5FDD0B80-D439-4BC4-81FD-D639162F880B}"/>
    <cellStyle name="Comma 8 2 2 5" xfId="467" xr:uid="{00000000-0005-0000-0000-0000D2010000}"/>
    <cellStyle name="Comma 8 2 2 5 2" xfId="2130" xr:uid="{1D9C0541-3762-489A-93F2-344D9437A197}"/>
    <cellStyle name="Comma 8 2 2 6" xfId="2121" xr:uid="{7DD050B7-6207-470B-8555-9529D2B97935}"/>
    <cellStyle name="Comma 8 2 3" xfId="468" xr:uid="{00000000-0005-0000-0000-0000D3010000}"/>
    <cellStyle name="Comma 8 2 3 2" xfId="469" xr:uid="{00000000-0005-0000-0000-0000D4010000}"/>
    <cellStyle name="Comma 8 2 3 2 2" xfId="470" xr:uid="{00000000-0005-0000-0000-0000D5010000}"/>
    <cellStyle name="Comma 8 2 3 2 2 2" xfId="2133" xr:uid="{C1E7F4F8-C67D-4F77-B00B-A4CD2DDF38A7}"/>
    <cellStyle name="Comma 8 2 3 2 3" xfId="2132" xr:uid="{EAD0238F-4BE0-4E6A-A2D2-4B0CB04608D3}"/>
    <cellStyle name="Comma 8 2 3 3" xfId="471" xr:uid="{00000000-0005-0000-0000-0000D6010000}"/>
    <cellStyle name="Comma 8 2 3 3 2" xfId="472" xr:uid="{00000000-0005-0000-0000-0000D7010000}"/>
    <cellStyle name="Comma 8 2 3 3 2 2" xfId="2135" xr:uid="{4C49718B-24FB-41B5-AD44-FA5B0FDE1C4D}"/>
    <cellStyle name="Comma 8 2 3 3 3" xfId="2134" xr:uid="{E1B2FF27-D14E-4F05-888F-31419170E693}"/>
    <cellStyle name="Comma 8 2 3 4" xfId="473" xr:uid="{00000000-0005-0000-0000-0000D8010000}"/>
    <cellStyle name="Comma 8 2 3 4 2" xfId="2136" xr:uid="{14504D00-5E9A-4D91-A512-7C403BA23089}"/>
    <cellStyle name="Comma 8 2 3 5" xfId="2131" xr:uid="{8E6DA059-A314-4DD4-A7B8-FE08F9356136}"/>
    <cellStyle name="Comma 8 2 4" xfId="474" xr:uid="{00000000-0005-0000-0000-0000D9010000}"/>
    <cellStyle name="Comma 8 2 4 2" xfId="475" xr:uid="{00000000-0005-0000-0000-0000DA010000}"/>
    <cellStyle name="Comma 8 2 4 2 2" xfId="476" xr:uid="{00000000-0005-0000-0000-0000DB010000}"/>
    <cellStyle name="Comma 8 2 4 2 2 2" xfId="2139" xr:uid="{6B008096-48A3-42C0-81AF-5E43543CEB87}"/>
    <cellStyle name="Comma 8 2 4 2 3" xfId="2138" xr:uid="{8F687270-3B5D-43A0-8B67-B6173C97DA54}"/>
    <cellStyle name="Comma 8 2 4 3" xfId="477" xr:uid="{00000000-0005-0000-0000-0000DC010000}"/>
    <cellStyle name="Comma 8 2 4 3 2" xfId="2140" xr:uid="{CA232FBB-B74F-4D4D-A8CB-8CFFC86B5068}"/>
    <cellStyle name="Comma 8 2 4 4" xfId="2137" xr:uid="{C4DE5498-85AF-4A4C-BF09-38EEEF0EA2B2}"/>
    <cellStyle name="Comma 8 2 5" xfId="478" xr:uid="{00000000-0005-0000-0000-0000DD010000}"/>
    <cellStyle name="Comma 8 2 5 2" xfId="479" xr:uid="{00000000-0005-0000-0000-0000DE010000}"/>
    <cellStyle name="Comma 8 2 5 2 2" xfId="480" xr:uid="{00000000-0005-0000-0000-0000DF010000}"/>
    <cellStyle name="Comma 8 2 5 2 2 2" xfId="2143" xr:uid="{64828655-77AE-4054-A0A8-62B2EE38D40B}"/>
    <cellStyle name="Comma 8 2 5 2 3" xfId="2142" xr:uid="{A31A7D4D-CFFE-4E08-90FC-D055EB1E193A}"/>
    <cellStyle name="Comma 8 2 5 3" xfId="481" xr:uid="{00000000-0005-0000-0000-0000E0010000}"/>
    <cellStyle name="Comma 8 2 5 3 2" xfId="2144" xr:uid="{67DE00DB-0C2E-41C1-97E5-25DD2EE5B6B2}"/>
    <cellStyle name="Comma 8 2 5 4" xfId="2141" xr:uid="{B91623D9-7766-4B73-B7F1-656FF0D288CA}"/>
    <cellStyle name="Comma 8 2 6" xfId="482" xr:uid="{00000000-0005-0000-0000-0000E1010000}"/>
    <cellStyle name="Comma 8 2 6 2" xfId="483" xr:uid="{00000000-0005-0000-0000-0000E2010000}"/>
    <cellStyle name="Comma 8 2 6 2 2" xfId="2146" xr:uid="{2F2FF3B9-5C3B-4F18-BB4E-0332C726C731}"/>
    <cellStyle name="Comma 8 2 6 3" xfId="2145" xr:uid="{423DAC08-1CAF-4060-AA9A-1F8622A1A03C}"/>
    <cellStyle name="Comma 8 2 7" xfId="484" xr:uid="{00000000-0005-0000-0000-0000E3010000}"/>
    <cellStyle name="Comma 8 2 7 2" xfId="485" xr:uid="{00000000-0005-0000-0000-0000E4010000}"/>
    <cellStyle name="Comma 8 2 7 2 2" xfId="2148" xr:uid="{3EF26F66-AA6C-4A3D-958D-E605E780E308}"/>
    <cellStyle name="Comma 8 2 7 3" xfId="2147" xr:uid="{ECB2D5E3-88B1-4D9F-B6F5-B0307EE1F3D3}"/>
    <cellStyle name="Comma 8 2 8" xfId="486" xr:uid="{00000000-0005-0000-0000-0000E5010000}"/>
    <cellStyle name="Comma 8 2 8 2" xfId="2149" xr:uid="{2ACE3CC5-264C-4B6E-B247-1B4146646EA9}"/>
    <cellStyle name="Comma 8 2 9" xfId="2120" xr:uid="{E508414A-DD0B-4A07-9CA2-BCBB8DF73E10}"/>
    <cellStyle name="Comma 8 3" xfId="487" xr:uid="{00000000-0005-0000-0000-0000E6010000}"/>
    <cellStyle name="Comma 8 3 2" xfId="488" xr:uid="{00000000-0005-0000-0000-0000E7010000}"/>
    <cellStyle name="Comma 8 3 2 2" xfId="489" xr:uid="{00000000-0005-0000-0000-0000E8010000}"/>
    <cellStyle name="Comma 8 3 2 2 2" xfId="490" xr:uid="{00000000-0005-0000-0000-0000E9010000}"/>
    <cellStyle name="Comma 8 3 2 2 2 2" xfId="491" xr:uid="{00000000-0005-0000-0000-0000EA010000}"/>
    <cellStyle name="Comma 8 3 2 2 2 2 2" xfId="2154" xr:uid="{7C59A772-4D07-4A33-972B-ECE313CE7752}"/>
    <cellStyle name="Comma 8 3 2 2 2 3" xfId="2153" xr:uid="{66BB7537-360A-4DBD-AE13-517174691A55}"/>
    <cellStyle name="Comma 8 3 2 2 3" xfId="492" xr:uid="{00000000-0005-0000-0000-0000EB010000}"/>
    <cellStyle name="Comma 8 3 2 2 3 2" xfId="2155" xr:uid="{61BC7796-1055-4F0C-996D-85B61C306FF1}"/>
    <cellStyle name="Comma 8 3 2 2 4" xfId="2152" xr:uid="{C719B45A-DA7E-416E-A2EA-24CFD87C50CE}"/>
    <cellStyle name="Comma 8 3 2 3" xfId="493" xr:uid="{00000000-0005-0000-0000-0000EC010000}"/>
    <cellStyle name="Comma 8 3 2 3 2" xfId="494" xr:uid="{00000000-0005-0000-0000-0000ED010000}"/>
    <cellStyle name="Comma 8 3 2 3 2 2" xfId="2157" xr:uid="{C60C5A1C-9F80-4611-8A75-96AA96862CC6}"/>
    <cellStyle name="Comma 8 3 2 3 3" xfId="2156" xr:uid="{9A0AFDE6-B1CC-4735-BD77-F285AA255346}"/>
    <cellStyle name="Comma 8 3 2 4" xfId="495" xr:uid="{00000000-0005-0000-0000-0000EE010000}"/>
    <cellStyle name="Comma 8 3 2 4 2" xfId="496" xr:uid="{00000000-0005-0000-0000-0000EF010000}"/>
    <cellStyle name="Comma 8 3 2 4 2 2" xfId="2159" xr:uid="{9BCBBDDD-5541-4F46-B6C8-2A7A78EDA0DB}"/>
    <cellStyle name="Comma 8 3 2 4 3" xfId="2158" xr:uid="{AF1B4284-363D-49AE-84CD-41E30580C00D}"/>
    <cellStyle name="Comma 8 3 2 5" xfId="497" xr:uid="{00000000-0005-0000-0000-0000F0010000}"/>
    <cellStyle name="Comma 8 3 2 5 2" xfId="2160" xr:uid="{B3ECA984-CC4E-49C6-AA8C-149573B3C617}"/>
    <cellStyle name="Comma 8 3 2 6" xfId="2151" xr:uid="{D757DDD2-60C3-46EA-B0F1-0BEC110AC567}"/>
    <cellStyle name="Comma 8 3 3" xfId="498" xr:uid="{00000000-0005-0000-0000-0000F1010000}"/>
    <cellStyle name="Comma 8 3 3 2" xfId="499" xr:uid="{00000000-0005-0000-0000-0000F2010000}"/>
    <cellStyle name="Comma 8 3 3 2 2" xfId="500" xr:uid="{00000000-0005-0000-0000-0000F3010000}"/>
    <cellStyle name="Comma 8 3 3 2 2 2" xfId="2163" xr:uid="{6345E9FB-10F6-41B7-9933-6E81181293FF}"/>
    <cellStyle name="Comma 8 3 3 2 3" xfId="2162" xr:uid="{E14AD823-C844-4463-A558-569D41A4D752}"/>
    <cellStyle name="Comma 8 3 3 3" xfId="501" xr:uid="{00000000-0005-0000-0000-0000F4010000}"/>
    <cellStyle name="Comma 8 3 3 3 2" xfId="502" xr:uid="{00000000-0005-0000-0000-0000F5010000}"/>
    <cellStyle name="Comma 8 3 3 3 2 2" xfId="2165" xr:uid="{37F9EA47-0A60-4DBD-9ABD-84185E3222C3}"/>
    <cellStyle name="Comma 8 3 3 3 3" xfId="2164" xr:uid="{183498FE-7595-4F06-B5C6-70CBD8DCB0D2}"/>
    <cellStyle name="Comma 8 3 3 4" xfId="503" xr:uid="{00000000-0005-0000-0000-0000F6010000}"/>
    <cellStyle name="Comma 8 3 3 4 2" xfId="2166" xr:uid="{3FA50390-F7C9-4EDF-AB2E-273517E96495}"/>
    <cellStyle name="Comma 8 3 3 5" xfId="2161" xr:uid="{E3C02333-88E8-4D52-9037-8D389B194BC9}"/>
    <cellStyle name="Comma 8 3 4" xfId="504" xr:uid="{00000000-0005-0000-0000-0000F7010000}"/>
    <cellStyle name="Comma 8 3 4 2" xfId="505" xr:uid="{00000000-0005-0000-0000-0000F8010000}"/>
    <cellStyle name="Comma 8 3 4 2 2" xfId="506" xr:uid="{00000000-0005-0000-0000-0000F9010000}"/>
    <cellStyle name="Comma 8 3 4 2 2 2" xfId="2169" xr:uid="{4C933058-30E8-43E6-93F5-296D374AE5FA}"/>
    <cellStyle name="Comma 8 3 4 2 3" xfId="2168" xr:uid="{E536BCCC-06C6-454C-A09E-A0E6567D3E5A}"/>
    <cellStyle name="Comma 8 3 4 3" xfId="507" xr:uid="{00000000-0005-0000-0000-0000FA010000}"/>
    <cellStyle name="Comma 8 3 4 3 2" xfId="2170" xr:uid="{DD8023C8-E627-4F0C-A7B2-F1D5B26A4EEF}"/>
    <cellStyle name="Comma 8 3 4 4" xfId="2167" xr:uid="{077E91CA-69FA-42B8-9AD1-73F32F7BF60F}"/>
    <cellStyle name="Comma 8 3 5" xfId="508" xr:uid="{00000000-0005-0000-0000-0000FB010000}"/>
    <cellStyle name="Comma 8 3 5 2" xfId="509" xr:uid="{00000000-0005-0000-0000-0000FC010000}"/>
    <cellStyle name="Comma 8 3 5 2 2" xfId="2172" xr:uid="{AE0CC2A7-3E93-4DC4-9A04-B16A1E8DAAEB}"/>
    <cellStyle name="Comma 8 3 5 3" xfId="2171" xr:uid="{91F62CA8-DF5C-4CC6-9139-46AE12F1AF32}"/>
    <cellStyle name="Comma 8 3 6" xfId="510" xr:uid="{00000000-0005-0000-0000-0000FD010000}"/>
    <cellStyle name="Comma 8 3 6 2" xfId="511" xr:uid="{00000000-0005-0000-0000-0000FE010000}"/>
    <cellStyle name="Comma 8 3 6 2 2" xfId="2174" xr:uid="{6A2B16E8-30CA-4893-8522-F1C51E340556}"/>
    <cellStyle name="Comma 8 3 6 3" xfId="2173" xr:uid="{D412E4DB-84D9-488E-9691-2D04647B9CF0}"/>
    <cellStyle name="Comma 8 3 7" xfId="512" xr:uid="{00000000-0005-0000-0000-0000FF010000}"/>
    <cellStyle name="Comma 8 3 7 2" xfId="2175" xr:uid="{C3C6618A-21CD-4E27-A76C-5DBBACB4BA5C}"/>
    <cellStyle name="Comma 8 3 8" xfId="2150" xr:uid="{B79C0B86-5069-409E-B922-06939ED09C16}"/>
    <cellStyle name="Comma 8 4" xfId="513" xr:uid="{00000000-0005-0000-0000-000000020000}"/>
    <cellStyle name="Comma 8 4 2" xfId="514" xr:uid="{00000000-0005-0000-0000-000001020000}"/>
    <cellStyle name="Comma 8 4 2 2" xfId="515" xr:uid="{00000000-0005-0000-0000-000002020000}"/>
    <cellStyle name="Comma 8 4 2 2 2" xfId="516" xr:uid="{00000000-0005-0000-0000-000003020000}"/>
    <cellStyle name="Comma 8 4 2 2 2 2" xfId="2179" xr:uid="{81D13836-4522-4F3D-BA05-87C01E40C5C2}"/>
    <cellStyle name="Comma 8 4 2 2 3" xfId="2178" xr:uid="{F743AE34-DF5B-4825-AD47-9871254A283A}"/>
    <cellStyle name="Comma 8 4 2 3" xfId="517" xr:uid="{00000000-0005-0000-0000-000004020000}"/>
    <cellStyle name="Comma 8 4 2 3 2" xfId="2180" xr:uid="{8DC11103-F598-4995-87BD-360D4F0BDD86}"/>
    <cellStyle name="Comma 8 4 2 4" xfId="2177" xr:uid="{8846DAFE-CCAF-44A3-8663-AF75A77C4CFB}"/>
    <cellStyle name="Comma 8 4 3" xfId="518" xr:uid="{00000000-0005-0000-0000-000005020000}"/>
    <cellStyle name="Comma 8 4 3 2" xfId="519" xr:uid="{00000000-0005-0000-0000-000006020000}"/>
    <cellStyle name="Comma 8 4 3 2 2" xfId="2182" xr:uid="{34D17355-FF52-4767-8DDB-F29457599191}"/>
    <cellStyle name="Comma 8 4 3 3" xfId="2181" xr:uid="{3AA12B6D-47CA-493A-9E58-F965F78789B3}"/>
    <cellStyle name="Comma 8 4 4" xfId="520" xr:uid="{00000000-0005-0000-0000-000007020000}"/>
    <cellStyle name="Comma 8 4 4 2" xfId="521" xr:uid="{00000000-0005-0000-0000-000008020000}"/>
    <cellStyle name="Comma 8 4 4 2 2" xfId="2184" xr:uid="{C1DFFF92-6BCC-4EDB-95AC-A1AEB67A3107}"/>
    <cellStyle name="Comma 8 4 4 3" xfId="2183" xr:uid="{107244D2-5FD4-409E-BFA2-310A65EEB85A}"/>
    <cellStyle name="Comma 8 4 5" xfId="522" xr:uid="{00000000-0005-0000-0000-000009020000}"/>
    <cellStyle name="Comma 8 4 5 2" xfId="2185" xr:uid="{BDE75ED8-3E3F-49CC-935F-97B15BE5502A}"/>
    <cellStyle name="Comma 8 4 6" xfId="2176" xr:uid="{7E7D7ABD-5686-482C-962B-2436F8B6B010}"/>
    <cellStyle name="Comma 8 5" xfId="523" xr:uid="{00000000-0005-0000-0000-00000A020000}"/>
    <cellStyle name="Comma 8 5 2" xfId="524" xr:uid="{00000000-0005-0000-0000-00000B020000}"/>
    <cellStyle name="Comma 8 5 2 2" xfId="525" xr:uid="{00000000-0005-0000-0000-00000C020000}"/>
    <cellStyle name="Comma 8 5 2 2 2" xfId="2188" xr:uid="{FE6CC08E-6951-4DBA-BB88-78A9CA8329B8}"/>
    <cellStyle name="Comma 8 5 2 3" xfId="2187" xr:uid="{250AC50C-DE3D-49B5-B39E-8846FDF23616}"/>
    <cellStyle name="Comma 8 5 3" xfId="526" xr:uid="{00000000-0005-0000-0000-00000D020000}"/>
    <cellStyle name="Comma 8 5 3 2" xfId="527" xr:uid="{00000000-0005-0000-0000-00000E020000}"/>
    <cellStyle name="Comma 8 5 3 2 2" xfId="2190" xr:uid="{C119DE6F-4A10-45D7-A7B4-3DA009E4B45F}"/>
    <cellStyle name="Comma 8 5 3 3" xfId="2189" xr:uid="{14736C94-AF1F-4BFF-85A5-1721FDCE3DFA}"/>
    <cellStyle name="Comma 8 5 4" xfId="528" xr:uid="{00000000-0005-0000-0000-00000F020000}"/>
    <cellStyle name="Comma 8 5 4 2" xfId="2191" xr:uid="{E93B5A9B-CE1D-4A9C-8D49-1FA3091EC0F5}"/>
    <cellStyle name="Comma 8 5 5" xfId="2186" xr:uid="{16F0413D-E7D4-4084-986C-E8D9D8EF6150}"/>
    <cellStyle name="Comma 8 6" xfId="529" xr:uid="{00000000-0005-0000-0000-000010020000}"/>
    <cellStyle name="Comma 8 7" xfId="2910" xr:uid="{567A909A-3A69-4BAD-9C7A-6895E97A881F}"/>
    <cellStyle name="Comma 8 8" xfId="2936" xr:uid="{EE01DA06-5F8E-4341-A8D8-36D35190BEF8}"/>
    <cellStyle name="Comma 9" xfId="530" xr:uid="{00000000-0005-0000-0000-000011020000}"/>
    <cellStyle name="Comma 9 2" xfId="531" xr:uid="{00000000-0005-0000-0000-000012020000}"/>
    <cellStyle name="Comma 9 2 2" xfId="532" xr:uid="{00000000-0005-0000-0000-000013020000}"/>
    <cellStyle name="Comma 9 3" xfId="533" xr:uid="{00000000-0005-0000-0000-000014020000}"/>
    <cellStyle name="Comma 9 3 2" xfId="534" xr:uid="{00000000-0005-0000-0000-000015020000}"/>
    <cellStyle name="Comma 9 3 2 2" xfId="535" xr:uid="{00000000-0005-0000-0000-000016020000}"/>
    <cellStyle name="Comma 9 3 2 2 2" xfId="2195" xr:uid="{D6AB4642-0863-4A20-A376-51662F8769D3}"/>
    <cellStyle name="Comma 9 3 2 3" xfId="2194" xr:uid="{00D726A9-DFE4-4DA2-A913-B67F85829073}"/>
    <cellStyle name="Comma 9 3 3" xfId="536" xr:uid="{00000000-0005-0000-0000-000017020000}"/>
    <cellStyle name="Comma 9 3 3 2" xfId="2196" xr:uid="{E45EA659-FA7B-4EC9-BCE7-7D3CD6B8F9B4}"/>
    <cellStyle name="Comma 9 3 4" xfId="2193" xr:uid="{15A26256-3C37-4823-8476-3C937CDCA724}"/>
    <cellStyle name="Comma 9 4" xfId="537" xr:uid="{00000000-0005-0000-0000-000018020000}"/>
    <cellStyle name="Comma 9 4 2" xfId="538" xr:uid="{00000000-0005-0000-0000-000019020000}"/>
    <cellStyle name="Comma 9 4 2 2" xfId="539" xr:uid="{00000000-0005-0000-0000-00001A020000}"/>
    <cellStyle name="Comma 9 4 2 2 2" xfId="2199" xr:uid="{5FAD1F51-8260-403E-A06F-AC0AFBD07D76}"/>
    <cellStyle name="Comma 9 4 2 3" xfId="2198" xr:uid="{3BA83E97-2549-481C-B3AF-55AA5DE77D69}"/>
    <cellStyle name="Comma 9 4 3" xfId="540" xr:uid="{00000000-0005-0000-0000-00001B020000}"/>
    <cellStyle name="Comma 9 4 3 2" xfId="2200" xr:uid="{274F0676-1878-486D-A0D0-F837C7B4EBD9}"/>
    <cellStyle name="Comma 9 4 4" xfId="2197" xr:uid="{D633870F-F0B9-42D3-9571-F5BE31D7ABAA}"/>
    <cellStyle name="Comma 9 5" xfId="541" xr:uid="{00000000-0005-0000-0000-00001C020000}"/>
    <cellStyle name="Comma 9 5 2" xfId="542" xr:uid="{00000000-0005-0000-0000-00001D020000}"/>
    <cellStyle name="Comma 9 5 2 2" xfId="2202" xr:uid="{A83BA21D-EA64-4BC9-98F1-544CF61C5334}"/>
    <cellStyle name="Comma 9 5 3" xfId="2201" xr:uid="{46F914E5-0E14-441C-BF50-256DB153959D}"/>
    <cellStyle name="Comma 9 6" xfId="543" xr:uid="{00000000-0005-0000-0000-00001E020000}"/>
    <cellStyle name="Comma 9 6 2" xfId="544" xr:uid="{00000000-0005-0000-0000-00001F020000}"/>
    <cellStyle name="Comma 9 6 2 2" xfId="2204" xr:uid="{AD459930-4D61-4D12-95F5-C854FA5454FE}"/>
    <cellStyle name="Comma 9 6 3" xfId="2203" xr:uid="{9591D33C-B218-49B4-BF98-2CAF0F722233}"/>
    <cellStyle name="Comma 9 7" xfId="545" xr:uid="{00000000-0005-0000-0000-000020020000}"/>
    <cellStyle name="Comma 9 7 2" xfId="2205" xr:uid="{C91C8DD6-70F9-4C70-97CB-891A29E1F428}"/>
    <cellStyle name="Comma 9 8" xfId="2192" xr:uid="{A250B764-5F7E-457E-B325-B0DBD7E274E0}"/>
    <cellStyle name="Comma0" xfId="546" xr:uid="{00000000-0005-0000-0000-000021020000}"/>
    <cellStyle name="Comma0 2" xfId="547" xr:uid="{00000000-0005-0000-0000-000022020000}"/>
    <cellStyle name="Comma0 2 2" xfId="548" xr:uid="{00000000-0005-0000-0000-000023020000}"/>
    <cellStyle name="Comma0 2 3" xfId="549" xr:uid="{00000000-0005-0000-0000-000024020000}"/>
    <cellStyle name="Comma0 2 4" xfId="550" xr:uid="{00000000-0005-0000-0000-000025020000}"/>
    <cellStyle name="Comma0 3" xfId="551" xr:uid="{00000000-0005-0000-0000-000026020000}"/>
    <cellStyle name="Company Name" xfId="552" xr:uid="{00000000-0005-0000-0000-000027020000}"/>
    <cellStyle name="Currency" xfId="553" builtinId="4"/>
    <cellStyle name="Currency 0.00" xfId="554" xr:uid="{00000000-0005-0000-0000-000029020000}"/>
    <cellStyle name="Currency 10" xfId="555" xr:uid="{00000000-0005-0000-0000-00002A020000}"/>
    <cellStyle name="Currency 10 2" xfId="556" xr:uid="{00000000-0005-0000-0000-00002B020000}"/>
    <cellStyle name="Currency 11" xfId="557" xr:uid="{00000000-0005-0000-0000-00002C020000}"/>
    <cellStyle name="Currency 11 2" xfId="558" xr:uid="{00000000-0005-0000-0000-00002D020000}"/>
    <cellStyle name="Currency 12" xfId="559" xr:uid="{00000000-0005-0000-0000-00002E020000}"/>
    <cellStyle name="Currency 13" xfId="560" xr:uid="{00000000-0005-0000-0000-00002F020000}"/>
    <cellStyle name="Currency 13 2" xfId="561" xr:uid="{00000000-0005-0000-0000-000030020000}"/>
    <cellStyle name="Currency 14" xfId="562" xr:uid="{00000000-0005-0000-0000-000031020000}"/>
    <cellStyle name="Currency 15" xfId="563" xr:uid="{00000000-0005-0000-0000-000032020000}"/>
    <cellStyle name="Currency 16" xfId="564" xr:uid="{00000000-0005-0000-0000-000033020000}"/>
    <cellStyle name="Currency 17" xfId="565" xr:uid="{00000000-0005-0000-0000-000034020000}"/>
    <cellStyle name="Currency 18" xfId="566" xr:uid="{00000000-0005-0000-0000-000035020000}"/>
    <cellStyle name="Currency 19" xfId="2932" xr:uid="{CDEFF052-BD91-4EE2-B274-0E268E3F925C}"/>
    <cellStyle name="Currency 2" xfId="567" xr:uid="{00000000-0005-0000-0000-000036020000}"/>
    <cellStyle name="Currency 2 10" xfId="568" xr:uid="{00000000-0005-0000-0000-000037020000}"/>
    <cellStyle name="Currency 2 10 2" xfId="569" xr:uid="{00000000-0005-0000-0000-000038020000}"/>
    <cellStyle name="Currency 2 11" xfId="570" xr:uid="{00000000-0005-0000-0000-000039020000}"/>
    <cellStyle name="Currency 2 12" xfId="571" xr:uid="{00000000-0005-0000-0000-00003A020000}"/>
    <cellStyle name="Currency 2 12 2" xfId="572" xr:uid="{00000000-0005-0000-0000-00003B020000}"/>
    <cellStyle name="Currency 2 2" xfId="573" xr:uid="{00000000-0005-0000-0000-00003C020000}"/>
    <cellStyle name="Currency 2 2 2" xfId="574" xr:uid="{00000000-0005-0000-0000-00003D020000}"/>
    <cellStyle name="Currency 2 2 3" xfId="575" xr:uid="{00000000-0005-0000-0000-00003E020000}"/>
    <cellStyle name="Currency 2 2 3 2" xfId="576" xr:uid="{00000000-0005-0000-0000-00003F020000}"/>
    <cellStyle name="Currency 2 3" xfId="577" xr:uid="{00000000-0005-0000-0000-000040020000}"/>
    <cellStyle name="Currency 2 3 2" xfId="578" xr:uid="{00000000-0005-0000-0000-000041020000}"/>
    <cellStyle name="Currency 2 3 3" xfId="579" xr:uid="{00000000-0005-0000-0000-000042020000}"/>
    <cellStyle name="Currency 2 3 3 2" xfId="580" xr:uid="{00000000-0005-0000-0000-000043020000}"/>
    <cellStyle name="Currency 2 4" xfId="581" xr:uid="{00000000-0005-0000-0000-000044020000}"/>
    <cellStyle name="Currency 2 4 2" xfId="582" xr:uid="{00000000-0005-0000-0000-000045020000}"/>
    <cellStyle name="Currency 2 5" xfId="583" xr:uid="{00000000-0005-0000-0000-000046020000}"/>
    <cellStyle name="Currency 2 5 2" xfId="584" xr:uid="{00000000-0005-0000-0000-000047020000}"/>
    <cellStyle name="Currency 2 6" xfId="585" xr:uid="{00000000-0005-0000-0000-000048020000}"/>
    <cellStyle name="Currency 2 7" xfId="586" xr:uid="{00000000-0005-0000-0000-000049020000}"/>
    <cellStyle name="Currency 2 8" xfId="587" xr:uid="{00000000-0005-0000-0000-00004A020000}"/>
    <cellStyle name="Currency 2 8 2" xfId="588" xr:uid="{00000000-0005-0000-0000-00004B020000}"/>
    <cellStyle name="Currency 2 9" xfId="589" xr:uid="{00000000-0005-0000-0000-00004C020000}"/>
    <cellStyle name="Currency 2 9 2" xfId="590" xr:uid="{00000000-0005-0000-0000-00004D020000}"/>
    <cellStyle name="Currency 3" xfId="591" xr:uid="{00000000-0005-0000-0000-00004E020000}"/>
    <cellStyle name="Currency 3 2" xfId="592" xr:uid="{00000000-0005-0000-0000-00004F020000}"/>
    <cellStyle name="Currency 3 2 2" xfId="593" xr:uid="{00000000-0005-0000-0000-000050020000}"/>
    <cellStyle name="Currency 3 2 2 2" xfId="594" xr:uid="{00000000-0005-0000-0000-000051020000}"/>
    <cellStyle name="Currency 3 2 3" xfId="595" xr:uid="{00000000-0005-0000-0000-000052020000}"/>
    <cellStyle name="Currency 3 2 3 2" xfId="596" xr:uid="{00000000-0005-0000-0000-000053020000}"/>
    <cellStyle name="Currency 3 2 4" xfId="597" xr:uid="{00000000-0005-0000-0000-000054020000}"/>
    <cellStyle name="Currency 3 2 5" xfId="598" xr:uid="{00000000-0005-0000-0000-000055020000}"/>
    <cellStyle name="Currency 3 2 5 2" xfId="599" xr:uid="{00000000-0005-0000-0000-000056020000}"/>
    <cellStyle name="Currency 3 2 6" xfId="1923" xr:uid="{4FA9A47E-07B0-4D86-A66E-6B14AB9F9AB5}"/>
    <cellStyle name="Currency 3 3" xfId="600" xr:uid="{00000000-0005-0000-0000-000057020000}"/>
    <cellStyle name="Currency 3 3 2" xfId="601" xr:uid="{00000000-0005-0000-0000-000058020000}"/>
    <cellStyle name="Currency 3 3 3" xfId="602" xr:uid="{00000000-0005-0000-0000-000059020000}"/>
    <cellStyle name="Currency 3 3 3 2" xfId="603" xr:uid="{00000000-0005-0000-0000-00005A020000}"/>
    <cellStyle name="Currency 3 3 4" xfId="1924" xr:uid="{59CAB0A0-343E-4471-9EFB-0E92C959EEE3}"/>
    <cellStyle name="Currency 3 4" xfId="604" xr:uid="{00000000-0005-0000-0000-00005B020000}"/>
    <cellStyle name="Currency 3 5" xfId="605" xr:uid="{00000000-0005-0000-0000-00005C020000}"/>
    <cellStyle name="Currency 3 5 2" xfId="606" xr:uid="{00000000-0005-0000-0000-00005D020000}"/>
    <cellStyle name="Currency 3 6" xfId="1922" xr:uid="{F2E94328-E056-4E64-900D-56231FD29569}"/>
    <cellStyle name="Currency 4" xfId="607" xr:uid="{00000000-0005-0000-0000-00005E020000}"/>
    <cellStyle name="Currency 4 2" xfId="608" xr:uid="{00000000-0005-0000-0000-00005F020000}"/>
    <cellStyle name="Currency 4 2 2" xfId="609" xr:uid="{00000000-0005-0000-0000-000060020000}"/>
    <cellStyle name="Currency 4 3" xfId="610" xr:uid="{00000000-0005-0000-0000-000061020000}"/>
    <cellStyle name="Currency 4 3 2" xfId="611" xr:uid="{00000000-0005-0000-0000-000062020000}"/>
    <cellStyle name="Currency 4 4" xfId="612" xr:uid="{00000000-0005-0000-0000-000063020000}"/>
    <cellStyle name="Currency 5" xfId="613" xr:uid="{00000000-0005-0000-0000-000064020000}"/>
    <cellStyle name="Currency 5 2" xfId="614" xr:uid="{00000000-0005-0000-0000-000065020000}"/>
    <cellStyle name="Currency 5 2 2" xfId="615" xr:uid="{00000000-0005-0000-0000-000066020000}"/>
    <cellStyle name="Currency 5 2 3" xfId="616" xr:uid="{00000000-0005-0000-0000-000067020000}"/>
    <cellStyle name="Currency 5 3" xfId="617" xr:uid="{00000000-0005-0000-0000-000068020000}"/>
    <cellStyle name="Currency 5 3 2" xfId="618" xr:uid="{00000000-0005-0000-0000-000069020000}"/>
    <cellStyle name="Currency 5 3 3" xfId="619" xr:uid="{00000000-0005-0000-0000-00006A020000}"/>
    <cellStyle name="Currency 5 4" xfId="620" xr:uid="{00000000-0005-0000-0000-00006B020000}"/>
    <cellStyle name="Currency 5 5" xfId="621" xr:uid="{00000000-0005-0000-0000-00006C020000}"/>
    <cellStyle name="Currency 5 5 2" xfId="622" xr:uid="{00000000-0005-0000-0000-00006D020000}"/>
    <cellStyle name="Currency 6" xfId="623" xr:uid="{00000000-0005-0000-0000-00006E020000}"/>
    <cellStyle name="Currency 6 2" xfId="624" xr:uid="{00000000-0005-0000-0000-00006F020000}"/>
    <cellStyle name="Currency 6 2 2" xfId="625" xr:uid="{00000000-0005-0000-0000-000070020000}"/>
    <cellStyle name="Currency 6 2 2 2" xfId="626" xr:uid="{00000000-0005-0000-0000-000071020000}"/>
    <cellStyle name="Currency 6 3" xfId="627" xr:uid="{00000000-0005-0000-0000-000072020000}"/>
    <cellStyle name="Currency 6 3 2" xfId="628" xr:uid="{00000000-0005-0000-0000-000073020000}"/>
    <cellStyle name="Currency 6 3 2 2" xfId="629" xr:uid="{00000000-0005-0000-0000-000074020000}"/>
    <cellStyle name="Currency 6 4" xfId="630" xr:uid="{00000000-0005-0000-0000-000075020000}"/>
    <cellStyle name="Currency 6 4 2" xfId="631" xr:uid="{00000000-0005-0000-0000-000076020000}"/>
    <cellStyle name="Currency 6 4 2 2" xfId="632" xr:uid="{00000000-0005-0000-0000-000077020000}"/>
    <cellStyle name="Currency 6 5" xfId="633" xr:uid="{00000000-0005-0000-0000-000078020000}"/>
    <cellStyle name="Currency 6 5 2" xfId="634" xr:uid="{00000000-0005-0000-0000-000079020000}"/>
    <cellStyle name="Currency 7" xfId="635" xr:uid="{00000000-0005-0000-0000-00007A020000}"/>
    <cellStyle name="Currency 7 2" xfId="636" xr:uid="{00000000-0005-0000-0000-00007B020000}"/>
    <cellStyle name="Currency 7 2 2" xfId="637" xr:uid="{00000000-0005-0000-0000-00007C020000}"/>
    <cellStyle name="Currency 7 2 3" xfId="638" xr:uid="{00000000-0005-0000-0000-00007D020000}"/>
    <cellStyle name="Currency 7 2 3 2" xfId="2208" xr:uid="{5C5FA27D-323F-4EC0-AF7E-1429267642FD}"/>
    <cellStyle name="Currency 7 2 4" xfId="639" xr:uid="{00000000-0005-0000-0000-00007E020000}"/>
    <cellStyle name="Currency 7 2 4 2" xfId="2209" xr:uid="{923BE68D-9C46-4018-BFEA-4CA14B663740}"/>
    <cellStyle name="Currency 7 2 5" xfId="2207" xr:uid="{1248595F-06B5-4F69-B93B-B030A0AAB8B5}"/>
    <cellStyle name="Currency 7 3" xfId="640" xr:uid="{00000000-0005-0000-0000-00007F020000}"/>
    <cellStyle name="Currency 7 4" xfId="641" xr:uid="{00000000-0005-0000-0000-000080020000}"/>
    <cellStyle name="Currency 7 5" xfId="642" xr:uid="{00000000-0005-0000-0000-000081020000}"/>
    <cellStyle name="Currency 7 5 2" xfId="2210" xr:uid="{8AFE86C2-2978-4FFE-AAFB-C4F5AB6B5F45}"/>
    <cellStyle name="Currency 7 6" xfId="643" xr:uid="{00000000-0005-0000-0000-000082020000}"/>
    <cellStyle name="Currency 7 6 2" xfId="2211" xr:uid="{1E37C409-8684-4DD1-BBDB-375F707B31E2}"/>
    <cellStyle name="Currency 7 7" xfId="2206" xr:uid="{64010509-FAB2-43AE-9A30-E562131C9CD8}"/>
    <cellStyle name="Currency 8" xfId="644" xr:uid="{00000000-0005-0000-0000-000083020000}"/>
    <cellStyle name="Currency 8 2" xfId="645" xr:uid="{00000000-0005-0000-0000-000084020000}"/>
    <cellStyle name="Currency 9" xfId="646" xr:uid="{00000000-0005-0000-0000-000085020000}"/>
    <cellStyle name="Currency 9 2" xfId="647" xr:uid="{00000000-0005-0000-0000-000086020000}"/>
    <cellStyle name="Currency 9 2 2" xfId="648" xr:uid="{00000000-0005-0000-0000-000087020000}"/>
    <cellStyle name="Currency0" xfId="649" xr:uid="{00000000-0005-0000-0000-000088020000}"/>
    <cellStyle name="Currency0 2" xfId="650" xr:uid="{00000000-0005-0000-0000-000089020000}"/>
    <cellStyle name="Currency0 2 2" xfId="651" xr:uid="{00000000-0005-0000-0000-00008A020000}"/>
    <cellStyle name="Currency0 2 3" xfId="652" xr:uid="{00000000-0005-0000-0000-00008B020000}"/>
    <cellStyle name="Currency0 2 4" xfId="653" xr:uid="{00000000-0005-0000-0000-00008C020000}"/>
    <cellStyle name="Currency0 3" xfId="654" xr:uid="{00000000-0005-0000-0000-00008D020000}"/>
    <cellStyle name="Date" xfId="655" xr:uid="{00000000-0005-0000-0000-00008E020000}"/>
    <cellStyle name="Date 2" xfId="656" xr:uid="{00000000-0005-0000-0000-00008F020000}"/>
    <cellStyle name="Date 2 2" xfId="657" xr:uid="{00000000-0005-0000-0000-000090020000}"/>
    <cellStyle name="Date 2 3" xfId="658" xr:uid="{00000000-0005-0000-0000-000091020000}"/>
    <cellStyle name="Date 2 4" xfId="659" xr:uid="{00000000-0005-0000-0000-000092020000}"/>
    <cellStyle name="Date 3" xfId="660" xr:uid="{00000000-0005-0000-0000-000093020000}"/>
    <cellStyle name="Explanatory Text" xfId="661" builtinId="53" customBuiltin="1"/>
    <cellStyle name="Explanatory Text 2" xfId="662" xr:uid="{00000000-0005-0000-0000-000095020000}"/>
    <cellStyle name="Fixed" xfId="663" xr:uid="{00000000-0005-0000-0000-000096020000}"/>
    <cellStyle name="Fixed 2" xfId="664" xr:uid="{00000000-0005-0000-0000-000097020000}"/>
    <cellStyle name="Fixed 2 2" xfId="665" xr:uid="{00000000-0005-0000-0000-000098020000}"/>
    <cellStyle name="Fixed 2 3" xfId="666" xr:uid="{00000000-0005-0000-0000-000099020000}"/>
    <cellStyle name="Fixed 2 4" xfId="667" xr:uid="{00000000-0005-0000-0000-00009A020000}"/>
    <cellStyle name="Fixed 3" xfId="668" xr:uid="{00000000-0005-0000-0000-00009B020000}"/>
    <cellStyle name="Followed Hyperlink 2" xfId="669" xr:uid="{00000000-0005-0000-0000-00009C020000}"/>
    <cellStyle name="FONT" xfId="670" xr:uid="{00000000-0005-0000-0000-00009D020000}"/>
    <cellStyle name="FundHeaderRowCol.*" xfId="671" xr:uid="{00000000-0005-0000-0000-00009E020000}"/>
    <cellStyle name="FundHeaderRowCol.1" xfId="672" xr:uid="{00000000-0005-0000-0000-00009F020000}"/>
    <cellStyle name="FundHeaderRowCol.2" xfId="673" xr:uid="{00000000-0005-0000-0000-0000A0020000}"/>
    <cellStyle name="FundHeaderRowCol.Desc" xfId="674" xr:uid="{00000000-0005-0000-0000-0000A1020000}"/>
    <cellStyle name="FundSectionHeaderRowDescCol" xfId="675" xr:uid="{00000000-0005-0000-0000-0000A2020000}"/>
    <cellStyle name="FundSectionHeaderRowJERefCol" xfId="676" xr:uid="{00000000-0005-0000-0000-0000A3020000}"/>
    <cellStyle name="FundSectionHeaderRowNameCol" xfId="677" xr:uid="{00000000-0005-0000-0000-0000A4020000}"/>
    <cellStyle name="Good" xfId="678" builtinId="26" customBuiltin="1"/>
    <cellStyle name="Good 2" xfId="679" xr:uid="{00000000-0005-0000-0000-0000A6020000}"/>
    <cellStyle name="Good 2 2" xfId="680" xr:uid="{00000000-0005-0000-0000-0000A7020000}"/>
    <cellStyle name="Good 2 3" xfId="681" xr:uid="{00000000-0005-0000-0000-0000A8020000}"/>
    <cellStyle name="Good 2 4" xfId="682" xr:uid="{00000000-0005-0000-0000-0000A9020000}"/>
    <cellStyle name="Good 2 5" xfId="683" xr:uid="{00000000-0005-0000-0000-0000AA020000}"/>
    <cellStyle name="Good 2 6" xfId="1964" xr:uid="{48795AA5-E93A-4C32-BDEF-D9F7191322AC}"/>
    <cellStyle name="GroupSectionHeaderRowBalance" xfId="684" xr:uid="{00000000-0005-0000-0000-0000AB020000}"/>
    <cellStyle name="GroupSectionHeaderRowDescCol" xfId="685" xr:uid="{00000000-0005-0000-0000-0000AC020000}"/>
    <cellStyle name="GroupSectionHeaderRowNameCol" xfId="686" xr:uid="{00000000-0005-0000-0000-0000AD020000}"/>
    <cellStyle name="GroupSelectionHeaderRowJERefCol" xfId="687" xr:uid="{00000000-0005-0000-0000-0000AE020000}"/>
    <cellStyle name="heading" xfId="688" xr:uid="{00000000-0005-0000-0000-0000AF020000}"/>
    <cellStyle name="Heading 1" xfId="689" builtinId="16" customBuiltin="1"/>
    <cellStyle name="Heading 1 2" xfId="690" xr:uid="{00000000-0005-0000-0000-0000B1020000}"/>
    <cellStyle name="Heading 1 2 2" xfId="691" xr:uid="{00000000-0005-0000-0000-0000B2020000}"/>
    <cellStyle name="Heading 1 2 3" xfId="692" xr:uid="{00000000-0005-0000-0000-0000B3020000}"/>
    <cellStyle name="Heading 1 2 4" xfId="693" xr:uid="{00000000-0005-0000-0000-0000B4020000}"/>
    <cellStyle name="Heading 1 2 5" xfId="694" xr:uid="{00000000-0005-0000-0000-0000B5020000}"/>
    <cellStyle name="Heading 1 2 6" xfId="695" xr:uid="{00000000-0005-0000-0000-0000B6020000}"/>
    <cellStyle name="Heading 1 3" xfId="696" xr:uid="{00000000-0005-0000-0000-0000B7020000}"/>
    <cellStyle name="Heading 1 3 2" xfId="697" xr:uid="{00000000-0005-0000-0000-0000B8020000}"/>
    <cellStyle name="Heading 1 3 3" xfId="698" xr:uid="{00000000-0005-0000-0000-0000B9020000}"/>
    <cellStyle name="Heading 2" xfId="699" builtinId="17" customBuiltin="1"/>
    <cellStyle name="Heading 2 2" xfId="700" xr:uid="{00000000-0005-0000-0000-0000BB020000}"/>
    <cellStyle name="Heading 2 2 2" xfId="701" xr:uid="{00000000-0005-0000-0000-0000BC020000}"/>
    <cellStyle name="Heading 2 2 3" xfId="702" xr:uid="{00000000-0005-0000-0000-0000BD020000}"/>
    <cellStyle name="Heading 2 2 4" xfId="703" xr:uid="{00000000-0005-0000-0000-0000BE020000}"/>
    <cellStyle name="Heading 2 2 5" xfId="704" xr:uid="{00000000-0005-0000-0000-0000BF020000}"/>
    <cellStyle name="Heading 2 2 6" xfId="705" xr:uid="{00000000-0005-0000-0000-0000C0020000}"/>
    <cellStyle name="Heading 2 3" xfId="706" xr:uid="{00000000-0005-0000-0000-0000C1020000}"/>
    <cellStyle name="Heading 2 3 2" xfId="707" xr:uid="{00000000-0005-0000-0000-0000C2020000}"/>
    <cellStyle name="Heading 2 3 3" xfId="708" xr:uid="{00000000-0005-0000-0000-0000C3020000}"/>
    <cellStyle name="Heading 3" xfId="709" builtinId="18" customBuiltin="1"/>
    <cellStyle name="Heading 3 2" xfId="710" xr:uid="{00000000-0005-0000-0000-0000C5020000}"/>
    <cellStyle name="Heading 3 2 2" xfId="711" xr:uid="{00000000-0005-0000-0000-0000C6020000}"/>
    <cellStyle name="Heading 3 2 3" xfId="712" xr:uid="{00000000-0005-0000-0000-0000C7020000}"/>
    <cellStyle name="Heading 3 2 4" xfId="713" xr:uid="{00000000-0005-0000-0000-0000C8020000}"/>
    <cellStyle name="Heading 4" xfId="714" builtinId="19" customBuiltin="1"/>
    <cellStyle name="Heading 4 2" xfId="715" xr:uid="{00000000-0005-0000-0000-0000CA020000}"/>
    <cellStyle name="Heading 4 2 2" xfId="716" xr:uid="{00000000-0005-0000-0000-0000CB020000}"/>
    <cellStyle name="Heading 4 2 3" xfId="717" xr:uid="{00000000-0005-0000-0000-0000CC020000}"/>
    <cellStyle name="Heading 4 2 4" xfId="718" xr:uid="{00000000-0005-0000-0000-0000CD020000}"/>
    <cellStyle name="Hyperlink 2" xfId="719" xr:uid="{00000000-0005-0000-0000-0000CE020000}"/>
    <cellStyle name="Hyperlink 2 2" xfId="720" xr:uid="{00000000-0005-0000-0000-0000CF020000}"/>
    <cellStyle name="Hyperlink 2 3" xfId="1965" xr:uid="{28FF99BF-DB65-4501-A6D3-EE3AA477B816}"/>
    <cellStyle name="Input" xfId="721" builtinId="20" customBuiltin="1"/>
    <cellStyle name="Input 2" xfId="722" xr:uid="{00000000-0005-0000-0000-0000D1020000}"/>
    <cellStyle name="Input 2 2" xfId="723" xr:uid="{00000000-0005-0000-0000-0000D2020000}"/>
    <cellStyle name="Input 2 3" xfId="724" xr:uid="{00000000-0005-0000-0000-0000D3020000}"/>
    <cellStyle name="Input 2 4" xfId="725" xr:uid="{00000000-0005-0000-0000-0000D4020000}"/>
    <cellStyle name="JEDescriptionRowNameCol" xfId="726" xr:uid="{00000000-0005-0000-0000-0000D5020000}"/>
    <cellStyle name="JEDetailRowCreditCol" xfId="727" xr:uid="{00000000-0005-0000-0000-0000D6020000}"/>
    <cellStyle name="JEDetailRowDebitCol" xfId="728" xr:uid="{00000000-0005-0000-0000-0000D7020000}"/>
    <cellStyle name="JEDetailRowDescCol" xfId="729" xr:uid="{00000000-0005-0000-0000-0000D8020000}"/>
    <cellStyle name="JEDetailRowNameCol" xfId="730" xr:uid="{00000000-0005-0000-0000-0000D9020000}"/>
    <cellStyle name="JEDetailRowSpacerCol" xfId="731" xr:uid="{00000000-0005-0000-0000-0000DA020000}"/>
    <cellStyle name="JEDetailRowWPRefCol" xfId="732" xr:uid="{00000000-0005-0000-0000-0000DB020000}"/>
    <cellStyle name="JEFundSectionHeaderRowDescCol" xfId="733" xr:uid="{00000000-0005-0000-0000-0000DC020000}"/>
    <cellStyle name="JEFundSectionHeaderRowNameCol" xfId="734" xr:uid="{00000000-0005-0000-0000-0000DD020000}"/>
    <cellStyle name="JEIdentityRowDescCol" xfId="735" xr:uid="{00000000-0005-0000-0000-0000DE020000}"/>
    <cellStyle name="JEIdentityRowNameCol" xfId="736" xr:uid="{00000000-0005-0000-0000-0000DF020000}"/>
    <cellStyle name="JEIdentityRowSpacerCol" xfId="737" xr:uid="{00000000-0005-0000-0000-0000E0020000}"/>
    <cellStyle name="JEIdentityRowWPRefCol" xfId="738" xr:uid="{00000000-0005-0000-0000-0000E1020000}"/>
    <cellStyle name="JETotalRowCreditCol" xfId="739" xr:uid="{00000000-0005-0000-0000-0000E2020000}"/>
    <cellStyle name="JETotalRowDebitCol" xfId="740" xr:uid="{00000000-0005-0000-0000-0000E3020000}"/>
    <cellStyle name="JETotalRowDescCol" xfId="741" xr:uid="{00000000-0005-0000-0000-0000E4020000}"/>
    <cellStyle name="JETotalRowNameCol" xfId="742" xr:uid="{00000000-0005-0000-0000-0000E5020000}"/>
    <cellStyle name="JETotalRowSpacerCol" xfId="743" xr:uid="{00000000-0005-0000-0000-0000E6020000}"/>
    <cellStyle name="JETotalRowWPRefCol" xfId="744" xr:uid="{00000000-0005-0000-0000-0000E7020000}"/>
    <cellStyle name="JETypeDescriptionRowDescCol" xfId="745" xr:uid="{00000000-0005-0000-0000-0000E8020000}"/>
    <cellStyle name="JETypeDescriptionRowNameCol" xfId="746" xr:uid="{00000000-0005-0000-0000-0000E9020000}"/>
    <cellStyle name="Linked Cell" xfId="747" builtinId="24" customBuiltin="1"/>
    <cellStyle name="Linked Cell 2" xfId="748" xr:uid="{00000000-0005-0000-0000-0000EB020000}"/>
    <cellStyle name="Linked Cell 2 2" xfId="749" xr:uid="{00000000-0005-0000-0000-0000EC020000}"/>
    <cellStyle name="Linked Cell 2 3" xfId="750" xr:uid="{00000000-0005-0000-0000-0000ED020000}"/>
    <cellStyle name="Linked Cell 2 4" xfId="751" xr:uid="{00000000-0005-0000-0000-0000EE020000}"/>
    <cellStyle name="M" xfId="752" xr:uid="{00000000-0005-0000-0000-0000EF020000}"/>
    <cellStyle name="M 2" xfId="753" xr:uid="{00000000-0005-0000-0000-0000F0020000}"/>
    <cellStyle name="NetAssetsCategoryTitle" xfId="754" xr:uid="{00000000-0005-0000-0000-0000F1020000}"/>
    <cellStyle name="NetIncomeLossRowBalanceCol" xfId="755" xr:uid="{00000000-0005-0000-0000-0000F2020000}"/>
    <cellStyle name="NetIncomeLossRowDescCol" xfId="756" xr:uid="{00000000-0005-0000-0000-0000F3020000}"/>
    <cellStyle name="NetIncomeLossRowJERefCol" xfId="757" xr:uid="{00000000-0005-0000-0000-0000F4020000}"/>
    <cellStyle name="NetIncomeLossRowNameCol" xfId="758" xr:uid="{00000000-0005-0000-0000-0000F5020000}"/>
    <cellStyle name="NetIncomeLossRowSpacerCol" xfId="759" xr:uid="{00000000-0005-0000-0000-0000F6020000}"/>
    <cellStyle name="NetIncomeLossRowVarPectCol" xfId="760" xr:uid="{00000000-0005-0000-0000-0000F7020000}"/>
    <cellStyle name="NetIncomeLossRowWPRefCol" xfId="761" xr:uid="{00000000-0005-0000-0000-0000F8020000}"/>
    <cellStyle name="Neutral" xfId="762" builtinId="28" customBuiltin="1"/>
    <cellStyle name="Neutral 2" xfId="763" xr:uid="{00000000-0005-0000-0000-0000FA020000}"/>
    <cellStyle name="Neutral 2 2" xfId="764" xr:uid="{00000000-0005-0000-0000-0000FB020000}"/>
    <cellStyle name="Neutral 2 3" xfId="765" xr:uid="{00000000-0005-0000-0000-0000FC020000}"/>
    <cellStyle name="Neutral 2 4" xfId="766" xr:uid="{00000000-0005-0000-0000-0000FD020000}"/>
    <cellStyle name="Neutral 3" xfId="1946" xr:uid="{478A4F49-30B3-484D-9F07-4BEDE4B9FA5D}"/>
    <cellStyle name="NoData" xfId="767" xr:uid="{00000000-0005-0000-0000-0000FE020000}"/>
    <cellStyle name="Normal" xfId="0" builtinId="0"/>
    <cellStyle name="Normal 10" xfId="768" xr:uid="{00000000-0005-0000-0000-000000030000}"/>
    <cellStyle name="Normal 10 2" xfId="769" xr:uid="{00000000-0005-0000-0000-000001030000}"/>
    <cellStyle name="Normal 10 2 2" xfId="770" xr:uid="{00000000-0005-0000-0000-000002030000}"/>
    <cellStyle name="Normal 10 2 3" xfId="771" xr:uid="{00000000-0005-0000-0000-000003030000}"/>
    <cellStyle name="Normal 10 2 3 2" xfId="2906" xr:uid="{7411096F-87A7-40CD-A3EA-4D9E89130784}"/>
    <cellStyle name="Normal 10 3" xfId="772" xr:uid="{00000000-0005-0000-0000-000004030000}"/>
    <cellStyle name="Normal 10 3 2" xfId="773" xr:uid="{00000000-0005-0000-0000-000005030000}"/>
    <cellStyle name="Normal 10 3 3" xfId="774" xr:uid="{00000000-0005-0000-0000-000006030000}"/>
    <cellStyle name="Normal 10 4" xfId="775" xr:uid="{00000000-0005-0000-0000-000007030000}"/>
    <cellStyle name="Normal 10 5" xfId="776" xr:uid="{00000000-0005-0000-0000-000008030000}"/>
    <cellStyle name="Normal 10 5 2" xfId="2894" xr:uid="{0EEBFEBD-DD13-4AD5-B218-E57573A96E7B}"/>
    <cellStyle name="Normal 10 6" xfId="1966" xr:uid="{8A77D70C-EA93-474B-A67B-73F375DD0093}"/>
    <cellStyle name="Normal 10 7" xfId="1935" xr:uid="{10A2BA4A-B15F-4188-8B83-23EA2881FBF4}"/>
    <cellStyle name="Normal 10 8" xfId="2949" xr:uid="{B868C3B4-433A-4DBD-AF52-0927973EE5D1}"/>
    <cellStyle name="Normal 11" xfId="777" xr:uid="{00000000-0005-0000-0000-000009030000}"/>
    <cellStyle name="Normal 11 2" xfId="778" xr:uid="{00000000-0005-0000-0000-00000A030000}"/>
    <cellStyle name="Normal 11 3" xfId="779" xr:uid="{00000000-0005-0000-0000-00000B030000}"/>
    <cellStyle name="Normal 11 4" xfId="780" xr:uid="{00000000-0005-0000-0000-00000C030000}"/>
    <cellStyle name="Normal 11 5" xfId="781" xr:uid="{00000000-0005-0000-0000-00000D030000}"/>
    <cellStyle name="Normal 11 5 2" xfId="2883" xr:uid="{040FF624-7B74-4F82-9243-EEC05788DE25}"/>
    <cellStyle name="Normal 11 6" xfId="1967" xr:uid="{FD6FD015-B244-452A-BBD0-D4B597AFE837}"/>
    <cellStyle name="Normal 11 7" xfId="2929" xr:uid="{6C2B8223-E5BD-4197-81F1-262613631D96}"/>
    <cellStyle name="Normal 11 8" xfId="2951" xr:uid="{DCF07376-4824-419F-89A4-BC14ED5E52D9}"/>
    <cellStyle name="Normal 12" xfId="782" xr:uid="{00000000-0005-0000-0000-00000E030000}"/>
    <cellStyle name="Normal 12 2" xfId="783" xr:uid="{00000000-0005-0000-0000-00000F030000}"/>
    <cellStyle name="Normal 12 2 2" xfId="784" xr:uid="{00000000-0005-0000-0000-000010030000}"/>
    <cellStyle name="Normal 12 3" xfId="785" xr:uid="{00000000-0005-0000-0000-000011030000}"/>
    <cellStyle name="Normal 12 4" xfId="786" xr:uid="{00000000-0005-0000-0000-000012030000}"/>
    <cellStyle name="Normal 12 5" xfId="787" xr:uid="{00000000-0005-0000-0000-000013030000}"/>
    <cellStyle name="Normal 12 5 2" xfId="2895" xr:uid="{7F734537-FCF2-4CE8-A4A6-8654C456F13A}"/>
    <cellStyle name="Normal 13" xfId="788" xr:uid="{00000000-0005-0000-0000-000014030000}"/>
    <cellStyle name="Normal 13 2" xfId="789" xr:uid="{00000000-0005-0000-0000-000015030000}"/>
    <cellStyle name="Normal 13 2 2" xfId="790" xr:uid="{00000000-0005-0000-0000-000016030000}"/>
    <cellStyle name="Normal 13 3" xfId="791" xr:uid="{00000000-0005-0000-0000-000017030000}"/>
    <cellStyle name="Normal 13 4" xfId="792" xr:uid="{00000000-0005-0000-0000-000018030000}"/>
    <cellStyle name="Normal 13 5" xfId="793" xr:uid="{00000000-0005-0000-0000-000019030000}"/>
    <cellStyle name="Normal 14" xfId="794" xr:uid="{00000000-0005-0000-0000-00001A030000}"/>
    <cellStyle name="Normal 14 2" xfId="795" xr:uid="{00000000-0005-0000-0000-00001B030000}"/>
    <cellStyle name="Normal 14 2 2" xfId="796" xr:uid="{00000000-0005-0000-0000-00001C030000}"/>
    <cellStyle name="Normal 14 3" xfId="797" xr:uid="{00000000-0005-0000-0000-00001D030000}"/>
    <cellStyle name="Normal 14 4" xfId="798" xr:uid="{00000000-0005-0000-0000-00001E030000}"/>
    <cellStyle name="Normal 15" xfId="799" xr:uid="{00000000-0005-0000-0000-00001F030000}"/>
    <cellStyle name="Normal 15 2" xfId="800" xr:uid="{00000000-0005-0000-0000-000020030000}"/>
    <cellStyle name="Normal 15 2 2" xfId="801" xr:uid="{00000000-0005-0000-0000-000021030000}"/>
    <cellStyle name="Normal 15 3" xfId="802" xr:uid="{00000000-0005-0000-0000-000022030000}"/>
    <cellStyle name="Normal 15 3 2" xfId="803" xr:uid="{00000000-0005-0000-0000-000023030000}"/>
    <cellStyle name="Normal 15 3 3" xfId="804" xr:uid="{00000000-0005-0000-0000-000024030000}"/>
    <cellStyle name="Normal 15 4" xfId="805" xr:uid="{00000000-0005-0000-0000-000025030000}"/>
    <cellStyle name="Normal 15 4 2" xfId="806" xr:uid="{00000000-0005-0000-0000-000026030000}"/>
    <cellStyle name="Normal 15 5" xfId="807" xr:uid="{00000000-0005-0000-0000-000027030000}"/>
    <cellStyle name="Normal 15 6" xfId="808" xr:uid="{00000000-0005-0000-0000-000028030000}"/>
    <cellStyle name="Normal 16" xfId="809" xr:uid="{00000000-0005-0000-0000-000029030000}"/>
    <cellStyle name="Normal 16 2" xfId="810" xr:uid="{00000000-0005-0000-0000-00002A030000}"/>
    <cellStyle name="Normal 16 2 2" xfId="811" xr:uid="{00000000-0005-0000-0000-00002B030000}"/>
    <cellStyle name="Normal 16 3" xfId="812" xr:uid="{00000000-0005-0000-0000-00002C030000}"/>
    <cellStyle name="Normal 16 3 2" xfId="813" xr:uid="{00000000-0005-0000-0000-00002D030000}"/>
    <cellStyle name="Normal 16 3 3" xfId="814" xr:uid="{00000000-0005-0000-0000-00002E030000}"/>
    <cellStyle name="Normal 16 3 3 2" xfId="2214" xr:uid="{016B3EB4-C82B-4B49-9501-192B8544917A}"/>
    <cellStyle name="Normal 16 3 4" xfId="2213" xr:uid="{4C1EC02C-44A9-4091-9FFB-AB172F4A108E}"/>
    <cellStyle name="Normal 16 4" xfId="815" xr:uid="{00000000-0005-0000-0000-00002F030000}"/>
    <cellStyle name="Normal 16 5" xfId="816" xr:uid="{00000000-0005-0000-0000-000030030000}"/>
    <cellStyle name="Normal 16 5 2" xfId="2215" xr:uid="{9EDEE492-42FA-4138-B993-77837F388D5F}"/>
    <cellStyle name="Normal 16 6" xfId="2212" xr:uid="{C376C736-B8E5-4C9A-96B5-B40B9DC76E8A}"/>
    <cellStyle name="Normal 17" xfId="817" xr:uid="{00000000-0005-0000-0000-000031030000}"/>
    <cellStyle name="Normal 17 2" xfId="818" xr:uid="{00000000-0005-0000-0000-000032030000}"/>
    <cellStyle name="Normal 17 2 2" xfId="819" xr:uid="{00000000-0005-0000-0000-000033030000}"/>
    <cellStyle name="Normal 17 3" xfId="820" xr:uid="{00000000-0005-0000-0000-000034030000}"/>
    <cellStyle name="Normal 17 4" xfId="821" xr:uid="{00000000-0005-0000-0000-000035030000}"/>
    <cellStyle name="Normal 18" xfId="822" xr:uid="{00000000-0005-0000-0000-000036030000}"/>
    <cellStyle name="Normal 18 10" xfId="823" xr:uid="{00000000-0005-0000-0000-000037030000}"/>
    <cellStyle name="Normal 18 10 2" xfId="824" xr:uid="{00000000-0005-0000-0000-000038030000}"/>
    <cellStyle name="Normal 18 10 2 2" xfId="825" xr:uid="{00000000-0005-0000-0000-000039030000}"/>
    <cellStyle name="Normal 18 10 2 2 2" xfId="826" xr:uid="{00000000-0005-0000-0000-00003A030000}"/>
    <cellStyle name="Normal 18 10 2 2 2 2" xfId="2220" xr:uid="{277913A6-A1BD-4F6B-8CDC-87AED6023F50}"/>
    <cellStyle name="Normal 18 10 2 2 3" xfId="2219" xr:uid="{0520A717-1D06-452A-AC2F-AC9ABA0ECA00}"/>
    <cellStyle name="Normal 18 10 2 3" xfId="827" xr:uid="{00000000-0005-0000-0000-00003B030000}"/>
    <cellStyle name="Normal 18 10 2 3 2" xfId="2221" xr:uid="{B944978F-41F6-46EA-91E5-EF9E482D208F}"/>
    <cellStyle name="Normal 18 10 2 4" xfId="2218" xr:uid="{C05CB6F3-AA80-4B09-B1BB-C95A76F46CBA}"/>
    <cellStyle name="Normal 18 10 3" xfId="828" xr:uid="{00000000-0005-0000-0000-00003C030000}"/>
    <cellStyle name="Normal 18 10 3 2" xfId="829" xr:uid="{00000000-0005-0000-0000-00003D030000}"/>
    <cellStyle name="Normal 18 10 3 2 2" xfId="2223" xr:uid="{9FC7729E-F99F-4AA6-A686-CF8430C31F62}"/>
    <cellStyle name="Normal 18 10 3 3" xfId="2222" xr:uid="{FA693F43-87BF-4A92-A314-C89D5CF6A912}"/>
    <cellStyle name="Normal 18 10 4" xfId="830" xr:uid="{00000000-0005-0000-0000-00003E030000}"/>
    <cellStyle name="Normal 18 10 4 2" xfId="831" xr:uid="{00000000-0005-0000-0000-00003F030000}"/>
    <cellStyle name="Normal 18 10 4 2 2" xfId="2225" xr:uid="{44459808-9F1C-4C7F-A796-646DADB40573}"/>
    <cellStyle name="Normal 18 10 4 3" xfId="2224" xr:uid="{5D87220E-2605-4B91-B252-49570B5933CC}"/>
    <cellStyle name="Normal 18 10 5" xfId="832" xr:uid="{00000000-0005-0000-0000-000040030000}"/>
    <cellStyle name="Normal 18 10 5 2" xfId="2226" xr:uid="{6775B085-45F5-47E4-870E-F441D37D2208}"/>
    <cellStyle name="Normal 18 10 6" xfId="2217" xr:uid="{462E3AA8-58A0-44A8-9660-BEFBF03FAF75}"/>
    <cellStyle name="Normal 18 11" xfId="833" xr:uid="{00000000-0005-0000-0000-000041030000}"/>
    <cellStyle name="Normal 18 11 2" xfId="834" xr:uid="{00000000-0005-0000-0000-000042030000}"/>
    <cellStyle name="Normal 18 11 2 2" xfId="835" xr:uid="{00000000-0005-0000-0000-000043030000}"/>
    <cellStyle name="Normal 18 11 2 2 2" xfId="836" xr:uid="{00000000-0005-0000-0000-000044030000}"/>
    <cellStyle name="Normal 18 11 2 2 2 2" xfId="2230" xr:uid="{279A31FB-AC00-4FD1-9B2E-49012B29C1CB}"/>
    <cellStyle name="Normal 18 11 2 2 3" xfId="2229" xr:uid="{8913748C-6E41-407C-9B64-5F6B17E0BF46}"/>
    <cellStyle name="Normal 18 11 2 3" xfId="837" xr:uid="{00000000-0005-0000-0000-000045030000}"/>
    <cellStyle name="Normal 18 11 2 3 2" xfId="2231" xr:uid="{19EDDF9B-E79F-42C4-BD5D-AD3F3F181BE2}"/>
    <cellStyle name="Normal 18 11 2 4" xfId="2228" xr:uid="{AC60932A-AFB3-4FF3-AA4E-1BB87877BFCE}"/>
    <cellStyle name="Normal 18 11 3" xfId="838" xr:uid="{00000000-0005-0000-0000-000046030000}"/>
    <cellStyle name="Normal 18 11 3 2" xfId="839" xr:uid="{00000000-0005-0000-0000-000047030000}"/>
    <cellStyle name="Normal 18 11 3 2 2" xfId="2233" xr:uid="{E14BE940-6CA9-4610-AAF4-AA4A0D44F215}"/>
    <cellStyle name="Normal 18 11 3 3" xfId="2232" xr:uid="{7E499229-A90F-49A1-9F2C-6F251BD59944}"/>
    <cellStyle name="Normal 18 11 4" xfId="840" xr:uid="{00000000-0005-0000-0000-000048030000}"/>
    <cellStyle name="Normal 18 11 4 2" xfId="841" xr:uid="{00000000-0005-0000-0000-000049030000}"/>
    <cellStyle name="Normal 18 11 4 2 2" xfId="2235" xr:uid="{02372C34-77C1-4F81-A2CF-ED9ADFFFB220}"/>
    <cellStyle name="Normal 18 11 4 3" xfId="2234" xr:uid="{4C933BAA-B5E0-4078-BDDF-C01293172B2A}"/>
    <cellStyle name="Normal 18 11 5" xfId="842" xr:uid="{00000000-0005-0000-0000-00004A030000}"/>
    <cellStyle name="Normal 18 11 5 2" xfId="2236" xr:uid="{C07AD83A-B70D-4B24-A829-18E56C76B914}"/>
    <cellStyle name="Normal 18 11 6" xfId="2227" xr:uid="{D6F0A0ED-C684-4B81-A03B-281198F75ED5}"/>
    <cellStyle name="Normal 18 12" xfId="843" xr:uid="{00000000-0005-0000-0000-00004B030000}"/>
    <cellStyle name="Normal 18 12 2" xfId="844" xr:uid="{00000000-0005-0000-0000-00004C030000}"/>
    <cellStyle name="Normal 18 12 2 2" xfId="845" xr:uid="{00000000-0005-0000-0000-00004D030000}"/>
    <cellStyle name="Normal 18 12 2 2 2" xfId="2239" xr:uid="{FBBDA534-37E3-4C77-BF4E-E25B764408F6}"/>
    <cellStyle name="Normal 18 12 2 3" xfId="2238" xr:uid="{AB6B4E6C-579E-444B-91EB-29197F4859BD}"/>
    <cellStyle name="Normal 18 12 3" xfId="846" xr:uid="{00000000-0005-0000-0000-00004E030000}"/>
    <cellStyle name="Normal 18 12 3 2" xfId="847" xr:uid="{00000000-0005-0000-0000-00004F030000}"/>
    <cellStyle name="Normal 18 12 3 2 2" xfId="2241" xr:uid="{DD27F3A9-5F58-4491-B34B-2DA73983ABE7}"/>
    <cellStyle name="Normal 18 12 3 3" xfId="2240" xr:uid="{1FC83700-AE8D-4F30-A2AD-867B6E175FF4}"/>
    <cellStyle name="Normal 18 12 4" xfId="848" xr:uid="{00000000-0005-0000-0000-000050030000}"/>
    <cellStyle name="Normal 18 12 4 2" xfId="2242" xr:uid="{816CD781-9E48-4E3E-90DA-5C08CBC25264}"/>
    <cellStyle name="Normal 18 12 5" xfId="2237" xr:uid="{4439AAB7-C220-4B36-B13C-882F50BF8258}"/>
    <cellStyle name="Normal 18 13" xfId="849" xr:uid="{00000000-0005-0000-0000-000051030000}"/>
    <cellStyle name="Normal 18 13 2" xfId="850" xr:uid="{00000000-0005-0000-0000-000052030000}"/>
    <cellStyle name="Normal 18 13 2 2" xfId="851" xr:uid="{00000000-0005-0000-0000-000053030000}"/>
    <cellStyle name="Normal 18 13 2 2 2" xfId="2245" xr:uid="{4B70AB3A-7031-4910-96B0-48A1F6E8F16C}"/>
    <cellStyle name="Normal 18 13 2 3" xfId="2244" xr:uid="{A3742956-61D6-48B0-BCDE-9F560226B71B}"/>
    <cellStyle name="Normal 18 13 3" xfId="852" xr:uid="{00000000-0005-0000-0000-000054030000}"/>
    <cellStyle name="Normal 18 13 3 2" xfId="2246" xr:uid="{3AC3AA18-BA2A-4C59-8691-566202B048B3}"/>
    <cellStyle name="Normal 18 13 4" xfId="2243" xr:uid="{E4246E38-7EDB-4CA6-9700-BBB18A87AC83}"/>
    <cellStyle name="Normal 18 14" xfId="853" xr:uid="{00000000-0005-0000-0000-000055030000}"/>
    <cellStyle name="Normal 18 14 2" xfId="854" xr:uid="{00000000-0005-0000-0000-000056030000}"/>
    <cellStyle name="Normal 18 14 2 2" xfId="855" xr:uid="{00000000-0005-0000-0000-000057030000}"/>
    <cellStyle name="Normal 18 14 2 2 2" xfId="2249" xr:uid="{83066657-F0F1-4BAE-9187-F412601C8F71}"/>
    <cellStyle name="Normal 18 14 2 3" xfId="2248" xr:uid="{D577CE3F-AEE9-4462-8C55-79EEA1C94595}"/>
    <cellStyle name="Normal 18 14 3" xfId="856" xr:uid="{00000000-0005-0000-0000-000058030000}"/>
    <cellStyle name="Normal 18 14 3 2" xfId="2250" xr:uid="{B31378CD-1730-48C7-84D9-913E894673A9}"/>
    <cellStyle name="Normal 18 14 4" xfId="2247" xr:uid="{BE69B920-F737-44B4-AE26-D36B62B1AACA}"/>
    <cellStyle name="Normal 18 15" xfId="857" xr:uid="{00000000-0005-0000-0000-000059030000}"/>
    <cellStyle name="Normal 18 15 2" xfId="858" xr:uid="{00000000-0005-0000-0000-00005A030000}"/>
    <cellStyle name="Normal 18 15 2 2" xfId="2252" xr:uid="{DEB3E944-D502-4169-8A4C-F03963EFEE70}"/>
    <cellStyle name="Normal 18 15 3" xfId="2251" xr:uid="{6E37277C-763D-4E6B-96CD-A8870F272B6C}"/>
    <cellStyle name="Normal 18 16" xfId="859" xr:uid="{00000000-0005-0000-0000-00005B030000}"/>
    <cellStyle name="Normal 18 16 2" xfId="860" xr:uid="{00000000-0005-0000-0000-00005C030000}"/>
    <cellStyle name="Normal 18 16 2 2" xfId="2254" xr:uid="{F6C639BD-A751-49EA-8ECD-15B3F564861F}"/>
    <cellStyle name="Normal 18 16 3" xfId="2253" xr:uid="{25576380-77B0-4305-9F5B-C3590599DC0D}"/>
    <cellStyle name="Normal 18 17" xfId="861" xr:uid="{00000000-0005-0000-0000-00005D030000}"/>
    <cellStyle name="Normal 18 17 2" xfId="862" xr:uid="{00000000-0005-0000-0000-00005E030000}"/>
    <cellStyle name="Normal 18 17 2 2" xfId="2256" xr:uid="{3F319C98-57ED-4316-8020-4BB2EB942380}"/>
    <cellStyle name="Normal 18 17 3" xfId="2255" xr:uid="{03328443-5DF5-4D90-B1BF-1DD39403B3FC}"/>
    <cellStyle name="Normal 18 18" xfId="863" xr:uid="{00000000-0005-0000-0000-00005F030000}"/>
    <cellStyle name="Normal 18 19" xfId="864" xr:uid="{00000000-0005-0000-0000-000060030000}"/>
    <cellStyle name="Normal 18 19 2" xfId="2257" xr:uid="{B1D2A35C-6E90-42C7-8047-A9312A8DE0B7}"/>
    <cellStyle name="Normal 18 2" xfId="865" xr:uid="{00000000-0005-0000-0000-000061030000}"/>
    <cellStyle name="Normal 18 2 2" xfId="866" xr:uid="{00000000-0005-0000-0000-000062030000}"/>
    <cellStyle name="Normal 18 20" xfId="2216" xr:uid="{DEF55B08-58CC-4528-94CB-24646E35A347}"/>
    <cellStyle name="Normal 18 3" xfId="867" xr:uid="{00000000-0005-0000-0000-000063030000}"/>
    <cellStyle name="Normal 18 3 10" xfId="868" xr:uid="{00000000-0005-0000-0000-000064030000}"/>
    <cellStyle name="Normal 18 3 10 2" xfId="869" xr:uid="{00000000-0005-0000-0000-000065030000}"/>
    <cellStyle name="Normal 18 3 10 2 2" xfId="2260" xr:uid="{56519A33-5E8C-42D8-8816-B5CE9ED33768}"/>
    <cellStyle name="Normal 18 3 10 3" xfId="2259" xr:uid="{321B6C3A-09FE-4BB1-9B3E-D90F27336AD2}"/>
    <cellStyle name="Normal 18 3 11" xfId="870" xr:uid="{00000000-0005-0000-0000-000066030000}"/>
    <cellStyle name="Normal 18 3 12" xfId="871" xr:uid="{00000000-0005-0000-0000-000067030000}"/>
    <cellStyle name="Normal 18 3 12 2" xfId="2261" xr:uid="{351FF91E-3363-4256-9FDA-F5A1B933CFBE}"/>
    <cellStyle name="Normal 18 3 13" xfId="2258" xr:uid="{C13C0782-3575-48B2-B76D-37EA632D03D2}"/>
    <cellStyle name="Normal 18 3 2" xfId="872" xr:uid="{00000000-0005-0000-0000-000068030000}"/>
    <cellStyle name="Normal 18 3 2 10" xfId="873" xr:uid="{00000000-0005-0000-0000-000069030000}"/>
    <cellStyle name="Normal 18 3 2 10 2" xfId="2263" xr:uid="{890003C0-B19C-4C42-A0FA-CE83ADEC8FF3}"/>
    <cellStyle name="Normal 18 3 2 11" xfId="2262" xr:uid="{A18976DF-5D90-4694-88A0-2FB3695DF945}"/>
    <cellStyle name="Normal 18 3 2 2" xfId="874" xr:uid="{00000000-0005-0000-0000-00006A030000}"/>
    <cellStyle name="Normal 18 3 2 2 2" xfId="875" xr:uid="{00000000-0005-0000-0000-00006B030000}"/>
    <cellStyle name="Normal 18 3 2 2 2 2" xfId="876" xr:uid="{00000000-0005-0000-0000-00006C030000}"/>
    <cellStyle name="Normal 18 3 2 2 2 2 2" xfId="877" xr:uid="{00000000-0005-0000-0000-00006D030000}"/>
    <cellStyle name="Normal 18 3 2 2 2 2 2 2" xfId="878" xr:uid="{00000000-0005-0000-0000-00006E030000}"/>
    <cellStyle name="Normal 18 3 2 2 2 2 2 2 2" xfId="2268" xr:uid="{8FDBC3BF-5179-462C-AC1B-5BC2EB3BD019}"/>
    <cellStyle name="Normal 18 3 2 2 2 2 2 3" xfId="2267" xr:uid="{54647485-7DEB-4B9A-9B9B-45E52BEC1127}"/>
    <cellStyle name="Normal 18 3 2 2 2 2 3" xfId="879" xr:uid="{00000000-0005-0000-0000-00006F030000}"/>
    <cellStyle name="Normal 18 3 2 2 2 2 3 2" xfId="2269" xr:uid="{D3D0B3A6-B168-4E8C-A29A-310AAE823072}"/>
    <cellStyle name="Normal 18 3 2 2 2 2 4" xfId="2266" xr:uid="{CA6B399E-A636-439A-B837-BF67236B1128}"/>
    <cellStyle name="Normal 18 3 2 2 2 3" xfId="880" xr:uid="{00000000-0005-0000-0000-000070030000}"/>
    <cellStyle name="Normal 18 3 2 2 2 3 2" xfId="881" xr:uid="{00000000-0005-0000-0000-000071030000}"/>
    <cellStyle name="Normal 18 3 2 2 2 3 2 2" xfId="882" xr:uid="{00000000-0005-0000-0000-000072030000}"/>
    <cellStyle name="Normal 18 3 2 2 2 3 2 2 2" xfId="2272" xr:uid="{D2D3F546-88F4-4504-AB3A-4AA4832B1B1F}"/>
    <cellStyle name="Normal 18 3 2 2 2 3 2 3" xfId="2271" xr:uid="{534C3D1F-3E30-41C0-B68C-B308D6C9CA10}"/>
    <cellStyle name="Normal 18 3 2 2 2 3 3" xfId="883" xr:uid="{00000000-0005-0000-0000-000073030000}"/>
    <cellStyle name="Normal 18 3 2 2 2 3 3 2" xfId="2273" xr:uid="{6FFD9BFF-9026-45E9-809E-DEF59EDEAFFB}"/>
    <cellStyle name="Normal 18 3 2 2 2 3 4" xfId="2270" xr:uid="{E8D20E74-CEB9-48F2-A0F1-EC86376A03C3}"/>
    <cellStyle name="Normal 18 3 2 2 2 4" xfId="884" xr:uid="{00000000-0005-0000-0000-000074030000}"/>
    <cellStyle name="Normal 18 3 2 2 2 4 2" xfId="885" xr:uid="{00000000-0005-0000-0000-000075030000}"/>
    <cellStyle name="Normal 18 3 2 2 2 4 2 2" xfId="2275" xr:uid="{394623A6-A9EE-4CD5-B6AC-A96B2963CC13}"/>
    <cellStyle name="Normal 18 3 2 2 2 4 3" xfId="2274" xr:uid="{24144903-80E5-4DD7-8F82-CB62988ECF16}"/>
    <cellStyle name="Normal 18 3 2 2 2 5" xfId="886" xr:uid="{00000000-0005-0000-0000-000076030000}"/>
    <cellStyle name="Normal 18 3 2 2 2 5 2" xfId="887" xr:uid="{00000000-0005-0000-0000-000077030000}"/>
    <cellStyle name="Normal 18 3 2 2 2 5 2 2" xfId="2277" xr:uid="{33C5956F-59E2-428A-9CEB-6F2D6552C15D}"/>
    <cellStyle name="Normal 18 3 2 2 2 5 3" xfId="2276" xr:uid="{75DD0D19-123C-4CA5-984D-299CBCD2E82D}"/>
    <cellStyle name="Normal 18 3 2 2 2 6" xfId="888" xr:uid="{00000000-0005-0000-0000-000078030000}"/>
    <cellStyle name="Normal 18 3 2 2 2 6 2" xfId="2278" xr:uid="{6D95FD0C-866E-4334-8A45-6B87F39FA3A0}"/>
    <cellStyle name="Normal 18 3 2 2 2 7" xfId="2265" xr:uid="{0824783A-A63F-4E13-A35B-272EA70602BC}"/>
    <cellStyle name="Normal 18 3 2 2 3" xfId="889" xr:uid="{00000000-0005-0000-0000-000079030000}"/>
    <cellStyle name="Normal 18 3 2 2 3 2" xfId="890" xr:uid="{00000000-0005-0000-0000-00007A030000}"/>
    <cellStyle name="Normal 18 3 2 2 3 2 2" xfId="891" xr:uid="{00000000-0005-0000-0000-00007B030000}"/>
    <cellStyle name="Normal 18 3 2 2 3 2 2 2" xfId="2281" xr:uid="{0942D7F4-D2B7-4AB7-8C19-1C286AB4AD46}"/>
    <cellStyle name="Normal 18 3 2 2 3 2 3" xfId="2280" xr:uid="{30E6B5E9-1C7A-4E71-A52F-11020E812A94}"/>
    <cellStyle name="Normal 18 3 2 2 3 3" xfId="892" xr:uid="{00000000-0005-0000-0000-00007C030000}"/>
    <cellStyle name="Normal 18 3 2 2 3 3 2" xfId="2282" xr:uid="{E8AA3391-B59E-4FEF-AFB8-221D2ACC414F}"/>
    <cellStyle name="Normal 18 3 2 2 3 4" xfId="2279" xr:uid="{359D04D5-57FF-4EA5-8C69-93117A9041C6}"/>
    <cellStyle name="Normal 18 3 2 2 4" xfId="893" xr:uid="{00000000-0005-0000-0000-00007D030000}"/>
    <cellStyle name="Normal 18 3 2 2 4 2" xfId="894" xr:uid="{00000000-0005-0000-0000-00007E030000}"/>
    <cellStyle name="Normal 18 3 2 2 4 2 2" xfId="895" xr:uid="{00000000-0005-0000-0000-00007F030000}"/>
    <cellStyle name="Normal 18 3 2 2 4 2 2 2" xfId="2285" xr:uid="{59CD7F0B-374B-48CE-93E0-3B2A3DFE5A27}"/>
    <cellStyle name="Normal 18 3 2 2 4 2 3" xfId="2284" xr:uid="{071B5823-57B9-4B07-BC38-0DADB278DAE1}"/>
    <cellStyle name="Normal 18 3 2 2 4 3" xfId="896" xr:uid="{00000000-0005-0000-0000-000080030000}"/>
    <cellStyle name="Normal 18 3 2 2 4 3 2" xfId="2286" xr:uid="{D371BFE3-A223-44BF-A4E1-F4ADD8EA3C4F}"/>
    <cellStyle name="Normal 18 3 2 2 4 4" xfId="2283" xr:uid="{9058F229-837D-49CC-95C4-2D3C023DCDE0}"/>
    <cellStyle name="Normal 18 3 2 2 5" xfId="897" xr:uid="{00000000-0005-0000-0000-000081030000}"/>
    <cellStyle name="Normal 18 3 2 2 5 2" xfId="898" xr:uid="{00000000-0005-0000-0000-000082030000}"/>
    <cellStyle name="Normal 18 3 2 2 5 2 2" xfId="2288" xr:uid="{09591AC2-8BF6-466A-B575-13364F7FEC75}"/>
    <cellStyle name="Normal 18 3 2 2 5 3" xfId="2287" xr:uid="{A58A6714-AC2D-4FE6-AC8C-2698D2232589}"/>
    <cellStyle name="Normal 18 3 2 2 6" xfId="899" xr:uid="{00000000-0005-0000-0000-000083030000}"/>
    <cellStyle name="Normal 18 3 2 2 6 2" xfId="900" xr:uid="{00000000-0005-0000-0000-000084030000}"/>
    <cellStyle name="Normal 18 3 2 2 6 2 2" xfId="2290" xr:uid="{7C1DA151-B1D8-4EE4-8108-4C643D9D40F3}"/>
    <cellStyle name="Normal 18 3 2 2 6 3" xfId="2289" xr:uid="{F0B325CE-FA8A-4A46-93D0-175C0A3D064C}"/>
    <cellStyle name="Normal 18 3 2 2 7" xfId="901" xr:uid="{00000000-0005-0000-0000-000085030000}"/>
    <cellStyle name="Normal 18 3 2 2 7 2" xfId="2291" xr:uid="{B138CFB5-04B2-4FC9-BB9B-6E839BFA239B}"/>
    <cellStyle name="Normal 18 3 2 2 8" xfId="2264" xr:uid="{3C089089-6D67-4F88-B302-2A9271F6086F}"/>
    <cellStyle name="Normal 18 3 2 3" xfId="902" xr:uid="{00000000-0005-0000-0000-000086030000}"/>
    <cellStyle name="Normal 18 3 2 3 2" xfId="903" xr:uid="{00000000-0005-0000-0000-000087030000}"/>
    <cellStyle name="Normal 18 3 2 3 2 2" xfId="904" xr:uid="{00000000-0005-0000-0000-000088030000}"/>
    <cellStyle name="Normal 18 3 2 3 2 2 2" xfId="905" xr:uid="{00000000-0005-0000-0000-000089030000}"/>
    <cellStyle name="Normal 18 3 2 3 2 2 2 2" xfId="2295" xr:uid="{2B2CBFAC-9747-49AB-8B8A-41371030CA9E}"/>
    <cellStyle name="Normal 18 3 2 3 2 2 3" xfId="2294" xr:uid="{2A9B5B43-D874-44D5-82F9-9EF1ADF3B4D3}"/>
    <cellStyle name="Normal 18 3 2 3 2 3" xfId="906" xr:uid="{00000000-0005-0000-0000-00008A030000}"/>
    <cellStyle name="Normal 18 3 2 3 2 3 2" xfId="2296" xr:uid="{36E3BF52-9344-4197-B9A0-6E91BB3B3C3E}"/>
    <cellStyle name="Normal 18 3 2 3 2 4" xfId="2293" xr:uid="{55E828D2-43A7-4910-BD90-890549F300A6}"/>
    <cellStyle name="Normal 18 3 2 3 3" xfId="907" xr:uid="{00000000-0005-0000-0000-00008B030000}"/>
    <cellStyle name="Normal 18 3 2 3 3 2" xfId="908" xr:uid="{00000000-0005-0000-0000-00008C030000}"/>
    <cellStyle name="Normal 18 3 2 3 3 2 2" xfId="909" xr:uid="{00000000-0005-0000-0000-00008D030000}"/>
    <cellStyle name="Normal 18 3 2 3 3 2 2 2" xfId="2299" xr:uid="{4B49C2D8-F0D6-40AE-B963-08C67C900093}"/>
    <cellStyle name="Normal 18 3 2 3 3 2 3" xfId="2298" xr:uid="{30D8E24A-47F9-4D44-A489-ADFA7598011D}"/>
    <cellStyle name="Normal 18 3 2 3 3 3" xfId="910" xr:uid="{00000000-0005-0000-0000-00008E030000}"/>
    <cellStyle name="Normal 18 3 2 3 3 3 2" xfId="2300" xr:uid="{16338BAA-AB68-45CD-82BA-5D28996B3CBB}"/>
    <cellStyle name="Normal 18 3 2 3 3 4" xfId="2297" xr:uid="{971B7270-4F49-4FC6-B771-04D32E7CEFC8}"/>
    <cellStyle name="Normal 18 3 2 3 4" xfId="911" xr:uid="{00000000-0005-0000-0000-00008F030000}"/>
    <cellStyle name="Normal 18 3 2 3 4 2" xfId="912" xr:uid="{00000000-0005-0000-0000-000090030000}"/>
    <cellStyle name="Normal 18 3 2 3 4 2 2" xfId="2302" xr:uid="{9907E686-4453-427A-A990-C85D2693EC1F}"/>
    <cellStyle name="Normal 18 3 2 3 4 3" xfId="2301" xr:uid="{6BB5EDB0-89A8-4EB3-87D9-6EAA5487E331}"/>
    <cellStyle name="Normal 18 3 2 3 5" xfId="913" xr:uid="{00000000-0005-0000-0000-000091030000}"/>
    <cellStyle name="Normal 18 3 2 3 5 2" xfId="914" xr:uid="{00000000-0005-0000-0000-000092030000}"/>
    <cellStyle name="Normal 18 3 2 3 5 2 2" xfId="2304" xr:uid="{A8CE6232-CE23-43BE-BF99-3317A428EC02}"/>
    <cellStyle name="Normal 18 3 2 3 5 3" xfId="2303" xr:uid="{D3133DD9-858A-4C63-B88E-9C2CC050D082}"/>
    <cellStyle name="Normal 18 3 2 3 6" xfId="915" xr:uid="{00000000-0005-0000-0000-000093030000}"/>
    <cellStyle name="Normal 18 3 2 3 6 2" xfId="2305" xr:uid="{AC5AC505-56B1-4D97-B207-5DF6EDADBAA6}"/>
    <cellStyle name="Normal 18 3 2 3 7" xfId="2292" xr:uid="{49F4EA53-941E-42C5-84B7-B5DFAA22DA46}"/>
    <cellStyle name="Normal 18 3 2 4" xfId="916" xr:uid="{00000000-0005-0000-0000-000094030000}"/>
    <cellStyle name="Normal 18 3 2 4 2" xfId="917" xr:uid="{00000000-0005-0000-0000-000095030000}"/>
    <cellStyle name="Normal 18 3 2 4 2 2" xfId="918" xr:uid="{00000000-0005-0000-0000-000096030000}"/>
    <cellStyle name="Normal 18 3 2 4 2 2 2" xfId="919" xr:uid="{00000000-0005-0000-0000-000097030000}"/>
    <cellStyle name="Normal 18 3 2 4 2 2 2 2" xfId="2309" xr:uid="{1A3FEB41-142C-441A-AE56-8734927AFAE6}"/>
    <cellStyle name="Normal 18 3 2 4 2 2 3" xfId="2308" xr:uid="{91DFD260-6BD4-40C9-8011-0968B1040ED2}"/>
    <cellStyle name="Normal 18 3 2 4 2 3" xfId="920" xr:uid="{00000000-0005-0000-0000-000098030000}"/>
    <cellStyle name="Normal 18 3 2 4 2 3 2" xfId="2310" xr:uid="{75C0246E-49BD-4800-8CF2-03BCF1D5B002}"/>
    <cellStyle name="Normal 18 3 2 4 2 4" xfId="2307" xr:uid="{3A698820-1E55-4D4C-A363-53A289ACCA07}"/>
    <cellStyle name="Normal 18 3 2 4 3" xfId="921" xr:uid="{00000000-0005-0000-0000-000099030000}"/>
    <cellStyle name="Normal 18 3 2 4 3 2" xfId="922" xr:uid="{00000000-0005-0000-0000-00009A030000}"/>
    <cellStyle name="Normal 18 3 2 4 3 2 2" xfId="2312" xr:uid="{B1615B54-E739-4E40-94BC-63798208A5C7}"/>
    <cellStyle name="Normal 18 3 2 4 3 3" xfId="2311" xr:uid="{8765E685-01AA-43C0-AF89-14DB14A17DC4}"/>
    <cellStyle name="Normal 18 3 2 4 4" xfId="923" xr:uid="{00000000-0005-0000-0000-00009B030000}"/>
    <cellStyle name="Normal 18 3 2 4 4 2" xfId="924" xr:uid="{00000000-0005-0000-0000-00009C030000}"/>
    <cellStyle name="Normal 18 3 2 4 4 2 2" xfId="2314" xr:uid="{DEEE5357-3D8A-42A8-8565-0B17112C5424}"/>
    <cellStyle name="Normal 18 3 2 4 4 3" xfId="2313" xr:uid="{6ECC1872-7B76-4C67-90DA-4C10DA4B2104}"/>
    <cellStyle name="Normal 18 3 2 4 5" xfId="925" xr:uid="{00000000-0005-0000-0000-00009D030000}"/>
    <cellStyle name="Normal 18 3 2 4 5 2" xfId="2315" xr:uid="{E24D1F48-BBD2-491C-9F00-37612512577B}"/>
    <cellStyle name="Normal 18 3 2 4 6" xfId="2306" xr:uid="{0553A534-47AD-4635-9867-7FC8BD9E809A}"/>
    <cellStyle name="Normal 18 3 2 5" xfId="926" xr:uid="{00000000-0005-0000-0000-00009E030000}"/>
    <cellStyle name="Normal 18 3 2 5 2" xfId="927" xr:uid="{00000000-0005-0000-0000-00009F030000}"/>
    <cellStyle name="Normal 18 3 2 5 2 2" xfId="928" xr:uid="{00000000-0005-0000-0000-0000A0030000}"/>
    <cellStyle name="Normal 18 3 2 5 2 2 2" xfId="929" xr:uid="{00000000-0005-0000-0000-0000A1030000}"/>
    <cellStyle name="Normal 18 3 2 5 2 2 2 2" xfId="2319" xr:uid="{1885F79C-FDA2-40A0-9228-AA029590AEF3}"/>
    <cellStyle name="Normal 18 3 2 5 2 2 3" xfId="2318" xr:uid="{9C61C731-3B7C-4F1C-9061-40A064D97FFD}"/>
    <cellStyle name="Normal 18 3 2 5 2 3" xfId="930" xr:uid="{00000000-0005-0000-0000-0000A2030000}"/>
    <cellStyle name="Normal 18 3 2 5 2 3 2" xfId="2320" xr:uid="{DC6728EA-D7F7-49E1-B8CA-58E070E841F7}"/>
    <cellStyle name="Normal 18 3 2 5 2 4" xfId="2317" xr:uid="{2C34CDF6-92A7-4F68-97F8-FE8521779C64}"/>
    <cellStyle name="Normal 18 3 2 5 3" xfId="931" xr:uid="{00000000-0005-0000-0000-0000A3030000}"/>
    <cellStyle name="Normal 18 3 2 5 3 2" xfId="932" xr:uid="{00000000-0005-0000-0000-0000A4030000}"/>
    <cellStyle name="Normal 18 3 2 5 3 2 2" xfId="2322" xr:uid="{BE21D883-928B-411E-8296-E9F9CB24C1B5}"/>
    <cellStyle name="Normal 18 3 2 5 3 3" xfId="2321" xr:uid="{F6B439F0-F62F-4D80-9E6E-D1C5E8682238}"/>
    <cellStyle name="Normal 18 3 2 5 4" xfId="933" xr:uid="{00000000-0005-0000-0000-0000A5030000}"/>
    <cellStyle name="Normal 18 3 2 5 4 2" xfId="934" xr:uid="{00000000-0005-0000-0000-0000A6030000}"/>
    <cellStyle name="Normal 18 3 2 5 4 2 2" xfId="2324" xr:uid="{F9A4F2E6-9F6E-4765-A878-56C7287DE681}"/>
    <cellStyle name="Normal 18 3 2 5 4 3" xfId="2323" xr:uid="{9A8C3848-BE7B-438B-B46C-455B90DAD80C}"/>
    <cellStyle name="Normal 18 3 2 5 5" xfId="935" xr:uid="{00000000-0005-0000-0000-0000A7030000}"/>
    <cellStyle name="Normal 18 3 2 5 5 2" xfId="2325" xr:uid="{021F6E0D-7D8A-4860-94BF-5F617C60C69B}"/>
    <cellStyle name="Normal 18 3 2 5 6" xfId="2316" xr:uid="{792BC340-01C8-4994-AC19-F69FF211C2F5}"/>
    <cellStyle name="Normal 18 3 2 6" xfId="936" xr:uid="{00000000-0005-0000-0000-0000A8030000}"/>
    <cellStyle name="Normal 18 3 2 6 2" xfId="937" xr:uid="{00000000-0005-0000-0000-0000A9030000}"/>
    <cellStyle name="Normal 18 3 2 6 2 2" xfId="938" xr:uid="{00000000-0005-0000-0000-0000AA030000}"/>
    <cellStyle name="Normal 18 3 2 6 2 2 2" xfId="2328" xr:uid="{2117F282-4CCE-49DB-9779-3C6836291A9C}"/>
    <cellStyle name="Normal 18 3 2 6 2 3" xfId="2327" xr:uid="{023B2855-5ED9-444B-9DB3-05BA9F280E62}"/>
    <cellStyle name="Normal 18 3 2 6 3" xfId="939" xr:uid="{00000000-0005-0000-0000-0000AB030000}"/>
    <cellStyle name="Normal 18 3 2 6 3 2" xfId="2329" xr:uid="{D1DF03BD-9C33-44CD-9BA7-5F76321DDFD1}"/>
    <cellStyle name="Normal 18 3 2 6 4" xfId="2326" xr:uid="{118C6F73-AA9B-4A9C-946B-0F7C5907B681}"/>
    <cellStyle name="Normal 18 3 2 7" xfId="940" xr:uid="{00000000-0005-0000-0000-0000AC030000}"/>
    <cellStyle name="Normal 18 3 2 7 2" xfId="941" xr:uid="{00000000-0005-0000-0000-0000AD030000}"/>
    <cellStyle name="Normal 18 3 2 7 2 2" xfId="942" xr:uid="{00000000-0005-0000-0000-0000AE030000}"/>
    <cellStyle name="Normal 18 3 2 7 2 2 2" xfId="2332" xr:uid="{2BA4D33F-9DF2-4A80-AEEC-5C0AC14967A1}"/>
    <cellStyle name="Normal 18 3 2 7 2 3" xfId="2331" xr:uid="{6E55660B-FA13-4457-952B-11938C348DFA}"/>
    <cellStyle name="Normal 18 3 2 7 3" xfId="943" xr:uid="{00000000-0005-0000-0000-0000AF030000}"/>
    <cellStyle name="Normal 18 3 2 7 3 2" xfId="2333" xr:uid="{45E45B77-09FC-4AD3-9ED1-B76586E0185A}"/>
    <cellStyle name="Normal 18 3 2 7 4" xfId="2330" xr:uid="{BED06560-1305-41D3-B3E3-67E55CC7D908}"/>
    <cellStyle name="Normal 18 3 2 8" xfId="944" xr:uid="{00000000-0005-0000-0000-0000B0030000}"/>
    <cellStyle name="Normal 18 3 2 8 2" xfId="945" xr:uid="{00000000-0005-0000-0000-0000B1030000}"/>
    <cellStyle name="Normal 18 3 2 8 2 2" xfId="2335" xr:uid="{552D0875-09F2-4CB1-8292-0DF8B7D7CEA5}"/>
    <cellStyle name="Normal 18 3 2 8 3" xfId="2334" xr:uid="{95D18087-33FB-427F-AF38-DC64A50ABAC5}"/>
    <cellStyle name="Normal 18 3 2 9" xfId="946" xr:uid="{00000000-0005-0000-0000-0000B2030000}"/>
    <cellStyle name="Normal 18 3 2 9 2" xfId="947" xr:uid="{00000000-0005-0000-0000-0000B3030000}"/>
    <cellStyle name="Normal 18 3 2 9 2 2" xfId="2337" xr:uid="{1CB77B28-25D6-41B4-8D02-65CE1A8D03A0}"/>
    <cellStyle name="Normal 18 3 2 9 3" xfId="2336" xr:uid="{D0DDE7C1-55B0-4AFB-83A3-D3C6141693E3}"/>
    <cellStyle name="Normal 18 3 3" xfId="948" xr:uid="{00000000-0005-0000-0000-0000B4030000}"/>
    <cellStyle name="Normal 18 3 3 2" xfId="949" xr:uid="{00000000-0005-0000-0000-0000B5030000}"/>
    <cellStyle name="Normal 18 3 3 2 2" xfId="950" xr:uid="{00000000-0005-0000-0000-0000B6030000}"/>
    <cellStyle name="Normal 18 3 3 2 2 2" xfId="951" xr:uid="{00000000-0005-0000-0000-0000B7030000}"/>
    <cellStyle name="Normal 18 3 3 2 2 2 2" xfId="952" xr:uid="{00000000-0005-0000-0000-0000B8030000}"/>
    <cellStyle name="Normal 18 3 3 2 2 2 2 2" xfId="2342" xr:uid="{DDAC1EED-8166-4F66-BC25-604780204DA7}"/>
    <cellStyle name="Normal 18 3 3 2 2 2 3" xfId="2341" xr:uid="{710364D2-6DDA-4199-837E-CC07B4C7BF91}"/>
    <cellStyle name="Normal 18 3 3 2 2 3" xfId="953" xr:uid="{00000000-0005-0000-0000-0000B9030000}"/>
    <cellStyle name="Normal 18 3 3 2 2 3 2" xfId="2343" xr:uid="{03102FCF-2254-4873-B275-ABEDA3C29318}"/>
    <cellStyle name="Normal 18 3 3 2 2 4" xfId="2340" xr:uid="{40614974-A26F-4DD3-BE08-24077C7CC749}"/>
    <cellStyle name="Normal 18 3 3 2 3" xfId="954" xr:uid="{00000000-0005-0000-0000-0000BA030000}"/>
    <cellStyle name="Normal 18 3 3 2 3 2" xfId="955" xr:uid="{00000000-0005-0000-0000-0000BB030000}"/>
    <cellStyle name="Normal 18 3 3 2 3 2 2" xfId="956" xr:uid="{00000000-0005-0000-0000-0000BC030000}"/>
    <cellStyle name="Normal 18 3 3 2 3 2 2 2" xfId="2346" xr:uid="{C0F33E65-BBF8-4251-A59D-5A9C94847E8E}"/>
    <cellStyle name="Normal 18 3 3 2 3 2 3" xfId="2345" xr:uid="{5EDDE96F-8239-4B4A-8B98-7E7173092A17}"/>
    <cellStyle name="Normal 18 3 3 2 3 3" xfId="957" xr:uid="{00000000-0005-0000-0000-0000BD030000}"/>
    <cellStyle name="Normal 18 3 3 2 3 3 2" xfId="2347" xr:uid="{66F8F8DA-EABA-42C3-AF64-A59843660522}"/>
    <cellStyle name="Normal 18 3 3 2 3 4" xfId="2344" xr:uid="{82F427C5-4BAF-4F24-96C5-3F0EC00AA996}"/>
    <cellStyle name="Normal 18 3 3 2 4" xfId="958" xr:uid="{00000000-0005-0000-0000-0000BE030000}"/>
    <cellStyle name="Normal 18 3 3 2 4 2" xfId="959" xr:uid="{00000000-0005-0000-0000-0000BF030000}"/>
    <cellStyle name="Normal 18 3 3 2 4 2 2" xfId="2349" xr:uid="{444179DD-09F2-427B-B913-8FBF5EBD98AF}"/>
    <cellStyle name="Normal 18 3 3 2 4 3" xfId="2348" xr:uid="{22159B7B-0623-48D0-AB63-9C0DB553A100}"/>
    <cellStyle name="Normal 18 3 3 2 5" xfId="960" xr:uid="{00000000-0005-0000-0000-0000C0030000}"/>
    <cellStyle name="Normal 18 3 3 2 5 2" xfId="961" xr:uid="{00000000-0005-0000-0000-0000C1030000}"/>
    <cellStyle name="Normal 18 3 3 2 5 2 2" xfId="2351" xr:uid="{75D4115E-4105-4AAC-A427-115B1FF2FC61}"/>
    <cellStyle name="Normal 18 3 3 2 5 3" xfId="2350" xr:uid="{28499CEF-4B49-44FD-813E-57C0C4AC84CE}"/>
    <cellStyle name="Normal 18 3 3 2 6" xfId="962" xr:uid="{00000000-0005-0000-0000-0000C2030000}"/>
    <cellStyle name="Normal 18 3 3 2 6 2" xfId="2352" xr:uid="{42F10C97-3ACE-4DF8-B3FF-52F086942D08}"/>
    <cellStyle name="Normal 18 3 3 2 7" xfId="2339" xr:uid="{D9AF02D5-806F-4F5D-9332-3AC9267FBFB6}"/>
    <cellStyle name="Normal 18 3 3 3" xfId="963" xr:uid="{00000000-0005-0000-0000-0000C3030000}"/>
    <cellStyle name="Normal 18 3 3 3 2" xfId="964" xr:uid="{00000000-0005-0000-0000-0000C4030000}"/>
    <cellStyle name="Normal 18 3 3 3 2 2" xfId="965" xr:uid="{00000000-0005-0000-0000-0000C5030000}"/>
    <cellStyle name="Normal 18 3 3 3 2 2 2" xfId="2355" xr:uid="{3B16ABA7-FBB4-46A0-8A06-155084E1A32B}"/>
    <cellStyle name="Normal 18 3 3 3 2 3" xfId="2354" xr:uid="{575A87ED-0F74-49A1-9AC9-FF1C255D053D}"/>
    <cellStyle name="Normal 18 3 3 3 3" xfId="966" xr:uid="{00000000-0005-0000-0000-0000C6030000}"/>
    <cellStyle name="Normal 18 3 3 3 3 2" xfId="2356" xr:uid="{BDCDB268-1A59-4AF8-B889-795FB851A8B5}"/>
    <cellStyle name="Normal 18 3 3 3 4" xfId="2353" xr:uid="{B11D901E-CBA4-4587-96DD-E94F92C89C0C}"/>
    <cellStyle name="Normal 18 3 3 4" xfId="967" xr:uid="{00000000-0005-0000-0000-0000C7030000}"/>
    <cellStyle name="Normal 18 3 3 4 2" xfId="968" xr:uid="{00000000-0005-0000-0000-0000C8030000}"/>
    <cellStyle name="Normal 18 3 3 4 2 2" xfId="969" xr:uid="{00000000-0005-0000-0000-0000C9030000}"/>
    <cellStyle name="Normal 18 3 3 4 2 2 2" xfId="2359" xr:uid="{5A94BECE-F64E-4D47-875D-8F25D3E134F0}"/>
    <cellStyle name="Normal 18 3 3 4 2 3" xfId="2358" xr:uid="{DE834E0B-5B76-47F6-A2AA-A500F754EF66}"/>
    <cellStyle name="Normal 18 3 3 4 3" xfId="970" xr:uid="{00000000-0005-0000-0000-0000CA030000}"/>
    <cellStyle name="Normal 18 3 3 4 3 2" xfId="2360" xr:uid="{CD1760E0-413A-43FA-B7A3-E9169FD79406}"/>
    <cellStyle name="Normal 18 3 3 4 4" xfId="2357" xr:uid="{5B0DF497-2FE8-4FE6-8D75-E489245E9778}"/>
    <cellStyle name="Normal 18 3 3 5" xfId="971" xr:uid="{00000000-0005-0000-0000-0000CB030000}"/>
    <cellStyle name="Normal 18 3 3 5 2" xfId="972" xr:uid="{00000000-0005-0000-0000-0000CC030000}"/>
    <cellStyle name="Normal 18 3 3 5 2 2" xfId="2362" xr:uid="{BE918897-9929-4754-9C99-A3C27519916C}"/>
    <cellStyle name="Normal 18 3 3 5 3" xfId="2361" xr:uid="{EA2E1A49-7971-4D3A-8154-C9D09B1FC4AB}"/>
    <cellStyle name="Normal 18 3 3 6" xfId="973" xr:uid="{00000000-0005-0000-0000-0000CD030000}"/>
    <cellStyle name="Normal 18 3 3 6 2" xfId="974" xr:uid="{00000000-0005-0000-0000-0000CE030000}"/>
    <cellStyle name="Normal 18 3 3 6 2 2" xfId="2364" xr:uid="{42360CBD-4709-4F6F-ADFD-EEB38BBAD9AD}"/>
    <cellStyle name="Normal 18 3 3 6 3" xfId="2363" xr:uid="{040CA7D7-9CB7-489C-8D7D-94CC87C89EF9}"/>
    <cellStyle name="Normal 18 3 3 7" xfId="975" xr:uid="{00000000-0005-0000-0000-0000CF030000}"/>
    <cellStyle name="Normal 18 3 3 7 2" xfId="2365" xr:uid="{BA2622AE-3FFA-4ACB-AD82-3EF0B6B69EC1}"/>
    <cellStyle name="Normal 18 3 3 8" xfId="2338" xr:uid="{BEFC3765-3315-498D-B186-65D9FAD265ED}"/>
    <cellStyle name="Normal 18 3 4" xfId="976" xr:uid="{00000000-0005-0000-0000-0000D0030000}"/>
    <cellStyle name="Normal 18 3 4 2" xfId="977" xr:uid="{00000000-0005-0000-0000-0000D1030000}"/>
    <cellStyle name="Normal 18 3 4 2 2" xfId="978" xr:uid="{00000000-0005-0000-0000-0000D2030000}"/>
    <cellStyle name="Normal 18 3 4 2 2 2" xfId="979" xr:uid="{00000000-0005-0000-0000-0000D3030000}"/>
    <cellStyle name="Normal 18 3 4 2 2 2 2" xfId="2369" xr:uid="{77B2A301-3A09-43CF-B3C1-02264CB962D3}"/>
    <cellStyle name="Normal 18 3 4 2 2 3" xfId="2368" xr:uid="{3DAEFDDB-25FB-4EA6-A41C-6D4835EC6C6C}"/>
    <cellStyle name="Normal 18 3 4 2 3" xfId="980" xr:uid="{00000000-0005-0000-0000-0000D4030000}"/>
    <cellStyle name="Normal 18 3 4 2 3 2" xfId="2370" xr:uid="{94D33FE1-B7DD-4C87-B565-794F54CC8F53}"/>
    <cellStyle name="Normal 18 3 4 2 4" xfId="2367" xr:uid="{BCA8BD80-1C27-425B-B24E-4A243AB69CD6}"/>
    <cellStyle name="Normal 18 3 4 3" xfId="981" xr:uid="{00000000-0005-0000-0000-0000D5030000}"/>
    <cellStyle name="Normal 18 3 4 3 2" xfId="982" xr:uid="{00000000-0005-0000-0000-0000D6030000}"/>
    <cellStyle name="Normal 18 3 4 3 2 2" xfId="983" xr:uid="{00000000-0005-0000-0000-0000D7030000}"/>
    <cellStyle name="Normal 18 3 4 3 2 2 2" xfId="2373" xr:uid="{D3B3D14A-B31A-4382-8CF7-6CB31763A432}"/>
    <cellStyle name="Normal 18 3 4 3 2 3" xfId="2372" xr:uid="{A671F3CD-A521-4A75-902F-96695D663854}"/>
    <cellStyle name="Normal 18 3 4 3 3" xfId="984" xr:uid="{00000000-0005-0000-0000-0000D8030000}"/>
    <cellStyle name="Normal 18 3 4 3 3 2" xfId="2374" xr:uid="{57F3C3F8-EA21-419A-9F4B-60E0A0FBB79C}"/>
    <cellStyle name="Normal 18 3 4 3 4" xfId="2371" xr:uid="{63B90C12-6F63-4E85-80E2-B951860484FC}"/>
    <cellStyle name="Normal 18 3 4 4" xfId="985" xr:uid="{00000000-0005-0000-0000-0000D9030000}"/>
    <cellStyle name="Normal 18 3 4 4 2" xfId="986" xr:uid="{00000000-0005-0000-0000-0000DA030000}"/>
    <cellStyle name="Normal 18 3 4 4 2 2" xfId="2376" xr:uid="{B3636EC2-2336-4D2A-8C44-9444D022FD0F}"/>
    <cellStyle name="Normal 18 3 4 4 3" xfId="2375" xr:uid="{BDE3FD97-CE80-4F4A-86F0-051385092DC3}"/>
    <cellStyle name="Normal 18 3 4 5" xfId="987" xr:uid="{00000000-0005-0000-0000-0000DB030000}"/>
    <cellStyle name="Normal 18 3 4 5 2" xfId="988" xr:uid="{00000000-0005-0000-0000-0000DC030000}"/>
    <cellStyle name="Normal 18 3 4 5 2 2" xfId="2378" xr:uid="{1203A227-F1C0-4D6A-9DAC-A677340EA91C}"/>
    <cellStyle name="Normal 18 3 4 5 3" xfId="2377" xr:uid="{8606C0BB-2A73-4281-A964-9D808E8DEC63}"/>
    <cellStyle name="Normal 18 3 4 6" xfId="989" xr:uid="{00000000-0005-0000-0000-0000DD030000}"/>
    <cellStyle name="Normal 18 3 4 6 2" xfId="2379" xr:uid="{C4E6DB60-5DA3-4FB9-99A9-F3AC6CFCF88B}"/>
    <cellStyle name="Normal 18 3 4 7" xfId="2366" xr:uid="{5E9BEABD-7F16-4C55-83B2-78EAABA5ABC9}"/>
    <cellStyle name="Normal 18 3 5" xfId="990" xr:uid="{00000000-0005-0000-0000-0000DE030000}"/>
    <cellStyle name="Normal 18 3 5 2" xfId="991" xr:uid="{00000000-0005-0000-0000-0000DF030000}"/>
    <cellStyle name="Normal 18 3 5 2 2" xfId="992" xr:uid="{00000000-0005-0000-0000-0000E0030000}"/>
    <cellStyle name="Normal 18 3 5 2 2 2" xfId="993" xr:uid="{00000000-0005-0000-0000-0000E1030000}"/>
    <cellStyle name="Normal 18 3 5 2 2 2 2" xfId="2383" xr:uid="{DDC7EEC6-1194-453A-B64C-9ED902164636}"/>
    <cellStyle name="Normal 18 3 5 2 2 3" xfId="2382" xr:uid="{4E9E23AA-8C42-4DA6-A9AC-48BC3C838DA2}"/>
    <cellStyle name="Normal 18 3 5 2 3" xfId="994" xr:uid="{00000000-0005-0000-0000-0000E2030000}"/>
    <cellStyle name="Normal 18 3 5 2 3 2" xfId="2384" xr:uid="{B98F9A6F-9AB3-467C-AFC4-667A5814305D}"/>
    <cellStyle name="Normal 18 3 5 2 4" xfId="2381" xr:uid="{A392DFF2-1551-4977-A4B1-CD8693F8459A}"/>
    <cellStyle name="Normal 18 3 5 3" xfId="995" xr:uid="{00000000-0005-0000-0000-0000E3030000}"/>
    <cellStyle name="Normal 18 3 5 3 2" xfId="996" xr:uid="{00000000-0005-0000-0000-0000E4030000}"/>
    <cellStyle name="Normal 18 3 5 3 2 2" xfId="2386" xr:uid="{FE892393-458C-48DF-85BB-F6C2A0FFB6ED}"/>
    <cellStyle name="Normal 18 3 5 3 3" xfId="2385" xr:uid="{BA951D99-CA0A-40DE-B47A-9FA6D9C1D2B8}"/>
    <cellStyle name="Normal 18 3 5 4" xfId="997" xr:uid="{00000000-0005-0000-0000-0000E5030000}"/>
    <cellStyle name="Normal 18 3 5 4 2" xfId="998" xr:uid="{00000000-0005-0000-0000-0000E6030000}"/>
    <cellStyle name="Normal 18 3 5 4 2 2" xfId="2388" xr:uid="{D1DB4EF2-975E-4E9C-9CC9-8F82E7793C62}"/>
    <cellStyle name="Normal 18 3 5 4 3" xfId="2387" xr:uid="{D370FFCF-383C-41D1-BFF4-6BAD304CAB1C}"/>
    <cellStyle name="Normal 18 3 5 5" xfId="999" xr:uid="{00000000-0005-0000-0000-0000E7030000}"/>
    <cellStyle name="Normal 18 3 5 5 2" xfId="2389" xr:uid="{7FE35BCF-993D-43A7-95D0-C2DEF8F64E92}"/>
    <cellStyle name="Normal 18 3 5 6" xfId="2380" xr:uid="{EDBAEEBD-3022-4CE7-98FE-C0D7423C2652}"/>
    <cellStyle name="Normal 18 3 6" xfId="1000" xr:uid="{00000000-0005-0000-0000-0000E8030000}"/>
    <cellStyle name="Normal 18 3 6 2" xfId="1001" xr:uid="{00000000-0005-0000-0000-0000E9030000}"/>
    <cellStyle name="Normal 18 3 6 2 2" xfId="1002" xr:uid="{00000000-0005-0000-0000-0000EA030000}"/>
    <cellStyle name="Normal 18 3 6 2 2 2" xfId="1003" xr:uid="{00000000-0005-0000-0000-0000EB030000}"/>
    <cellStyle name="Normal 18 3 6 2 2 2 2" xfId="2393" xr:uid="{EA8A2E5F-7C29-4D2C-84B8-80AB7C59F885}"/>
    <cellStyle name="Normal 18 3 6 2 2 3" xfId="2392" xr:uid="{29CA046B-3AFE-46AA-AC05-70FC7191455C}"/>
    <cellStyle name="Normal 18 3 6 2 3" xfId="1004" xr:uid="{00000000-0005-0000-0000-0000EC030000}"/>
    <cellStyle name="Normal 18 3 6 2 3 2" xfId="2394" xr:uid="{44E1D7D0-4EA0-41F2-8886-6DD41140269E}"/>
    <cellStyle name="Normal 18 3 6 2 4" xfId="2391" xr:uid="{A2150EB9-5F58-4F8E-8403-9C06A746341E}"/>
    <cellStyle name="Normal 18 3 6 3" xfId="1005" xr:uid="{00000000-0005-0000-0000-0000ED030000}"/>
    <cellStyle name="Normal 18 3 6 3 2" xfId="1006" xr:uid="{00000000-0005-0000-0000-0000EE030000}"/>
    <cellStyle name="Normal 18 3 6 3 2 2" xfId="2396" xr:uid="{8C622210-12BE-49DC-9B21-9C9E1B9D5615}"/>
    <cellStyle name="Normal 18 3 6 3 3" xfId="2395" xr:uid="{89A9E18F-06E2-467B-BB51-81BB033CDC47}"/>
    <cellStyle name="Normal 18 3 6 4" xfId="1007" xr:uid="{00000000-0005-0000-0000-0000EF030000}"/>
    <cellStyle name="Normal 18 3 6 4 2" xfId="1008" xr:uid="{00000000-0005-0000-0000-0000F0030000}"/>
    <cellStyle name="Normal 18 3 6 4 2 2" xfId="2398" xr:uid="{C7B341CC-A1CE-47B9-929A-7378D999148B}"/>
    <cellStyle name="Normal 18 3 6 4 3" xfId="2397" xr:uid="{C33CAC42-87D1-45B0-A4E7-5BB8DA1A575D}"/>
    <cellStyle name="Normal 18 3 6 5" xfId="1009" xr:uid="{00000000-0005-0000-0000-0000F1030000}"/>
    <cellStyle name="Normal 18 3 6 5 2" xfId="2399" xr:uid="{D1C0B811-A0FF-4470-A2AD-33A6F2D61020}"/>
    <cellStyle name="Normal 18 3 6 6" xfId="2390" xr:uid="{CB94EF7E-6C30-4116-927B-61596E2921EF}"/>
    <cellStyle name="Normal 18 3 7" xfId="1010" xr:uid="{00000000-0005-0000-0000-0000F2030000}"/>
    <cellStyle name="Normal 18 3 7 2" xfId="1011" xr:uid="{00000000-0005-0000-0000-0000F3030000}"/>
    <cellStyle name="Normal 18 3 7 2 2" xfId="1012" xr:uid="{00000000-0005-0000-0000-0000F4030000}"/>
    <cellStyle name="Normal 18 3 7 2 2 2" xfId="2402" xr:uid="{88C778ED-44A2-4821-B913-0899103EF240}"/>
    <cellStyle name="Normal 18 3 7 2 3" xfId="2401" xr:uid="{89FABA58-0C68-4745-A644-45C9533A9973}"/>
    <cellStyle name="Normal 18 3 7 3" xfId="1013" xr:uid="{00000000-0005-0000-0000-0000F5030000}"/>
    <cellStyle name="Normal 18 3 7 3 2" xfId="2403" xr:uid="{A2E6A95A-275B-45A8-B332-04D1FBF4AB2F}"/>
    <cellStyle name="Normal 18 3 7 4" xfId="2400" xr:uid="{D818018E-FD0E-40DA-95F7-C3E0D7158027}"/>
    <cellStyle name="Normal 18 3 8" xfId="1014" xr:uid="{00000000-0005-0000-0000-0000F6030000}"/>
    <cellStyle name="Normal 18 3 8 2" xfId="1015" xr:uid="{00000000-0005-0000-0000-0000F7030000}"/>
    <cellStyle name="Normal 18 3 8 2 2" xfId="1016" xr:uid="{00000000-0005-0000-0000-0000F8030000}"/>
    <cellStyle name="Normal 18 3 8 2 2 2" xfId="2406" xr:uid="{FCADB156-8D80-4AA9-B205-866AE294CCFB}"/>
    <cellStyle name="Normal 18 3 8 2 3" xfId="2405" xr:uid="{B200FC4B-77C7-4980-8797-BB5B9A331989}"/>
    <cellStyle name="Normal 18 3 8 3" xfId="1017" xr:uid="{00000000-0005-0000-0000-0000F9030000}"/>
    <cellStyle name="Normal 18 3 8 3 2" xfId="2407" xr:uid="{C9178C93-4AF1-418B-B85B-8AA7076649BD}"/>
    <cellStyle name="Normal 18 3 8 4" xfId="2404" xr:uid="{D5E848F3-BCAE-4535-BBE9-14F3C6B7B0BB}"/>
    <cellStyle name="Normal 18 3 9" xfId="1018" xr:uid="{00000000-0005-0000-0000-0000FA030000}"/>
    <cellStyle name="Normal 18 3 9 2" xfId="1019" xr:uid="{00000000-0005-0000-0000-0000FB030000}"/>
    <cellStyle name="Normal 18 3 9 2 2" xfId="2409" xr:uid="{BC8E15D8-0B34-4B1E-A860-0850B5D0942E}"/>
    <cellStyle name="Normal 18 3 9 3" xfId="2408" xr:uid="{48C2CDCF-426F-45A9-9ACA-35222313350A}"/>
    <cellStyle name="Normal 18 4" xfId="1020" xr:uid="{00000000-0005-0000-0000-0000FC030000}"/>
    <cellStyle name="Normal 18 4 10" xfId="1021" xr:uid="{00000000-0005-0000-0000-0000FD030000}"/>
    <cellStyle name="Normal 18 4 10 2" xfId="1022" xr:uid="{00000000-0005-0000-0000-0000FE030000}"/>
    <cellStyle name="Normal 18 4 10 2 2" xfId="2412" xr:uid="{3EB19A4D-1144-4746-B745-9E0EB8C048ED}"/>
    <cellStyle name="Normal 18 4 10 3" xfId="2411" xr:uid="{2470B4A7-931D-4D70-A87C-3212CE4F0CEB}"/>
    <cellStyle name="Normal 18 4 11" xfId="1023" xr:uid="{00000000-0005-0000-0000-0000FF030000}"/>
    <cellStyle name="Normal 18 4 11 2" xfId="2413" xr:uid="{388F4367-4B4F-4965-860E-DDA1F2B8D0A7}"/>
    <cellStyle name="Normal 18 4 12" xfId="2410" xr:uid="{5FD7CF16-CDB5-48C5-BFE5-D7C573F0BDC3}"/>
    <cellStyle name="Normal 18 4 2" xfId="1024" xr:uid="{00000000-0005-0000-0000-000000040000}"/>
    <cellStyle name="Normal 18 4 2 10" xfId="1025" xr:uid="{00000000-0005-0000-0000-000001040000}"/>
    <cellStyle name="Normal 18 4 2 10 2" xfId="2415" xr:uid="{FBC791D8-368E-48D3-89EE-926C34933298}"/>
    <cellStyle name="Normal 18 4 2 11" xfId="2414" xr:uid="{457C2295-5468-4A2C-B02B-051B60BEE6BE}"/>
    <cellStyle name="Normal 18 4 2 2" xfId="1026" xr:uid="{00000000-0005-0000-0000-000002040000}"/>
    <cellStyle name="Normal 18 4 2 2 2" xfId="1027" xr:uid="{00000000-0005-0000-0000-000003040000}"/>
    <cellStyle name="Normal 18 4 2 2 2 2" xfId="1028" xr:uid="{00000000-0005-0000-0000-000004040000}"/>
    <cellStyle name="Normal 18 4 2 2 2 2 2" xfId="1029" xr:uid="{00000000-0005-0000-0000-000005040000}"/>
    <cellStyle name="Normal 18 4 2 2 2 2 2 2" xfId="1030" xr:uid="{00000000-0005-0000-0000-000006040000}"/>
    <cellStyle name="Normal 18 4 2 2 2 2 2 2 2" xfId="2420" xr:uid="{9AF81CB1-5F08-4C9E-9CD6-D410C72D12B0}"/>
    <cellStyle name="Normal 18 4 2 2 2 2 2 3" xfId="2419" xr:uid="{450D9ABC-F121-4FB8-A8D0-77AFB2D38BE1}"/>
    <cellStyle name="Normal 18 4 2 2 2 2 3" xfId="1031" xr:uid="{00000000-0005-0000-0000-000007040000}"/>
    <cellStyle name="Normal 18 4 2 2 2 2 3 2" xfId="2421" xr:uid="{C3E936BB-8380-42AF-8EC2-078BB48F0091}"/>
    <cellStyle name="Normal 18 4 2 2 2 2 4" xfId="2418" xr:uid="{1E4BED54-3D80-49E7-9718-5D02404CC1A6}"/>
    <cellStyle name="Normal 18 4 2 2 2 3" xfId="1032" xr:uid="{00000000-0005-0000-0000-000008040000}"/>
    <cellStyle name="Normal 18 4 2 2 2 3 2" xfId="1033" xr:uid="{00000000-0005-0000-0000-000009040000}"/>
    <cellStyle name="Normal 18 4 2 2 2 3 2 2" xfId="1034" xr:uid="{00000000-0005-0000-0000-00000A040000}"/>
    <cellStyle name="Normal 18 4 2 2 2 3 2 2 2" xfId="2424" xr:uid="{94229892-6BF7-4FE1-BE3B-768A56C1E376}"/>
    <cellStyle name="Normal 18 4 2 2 2 3 2 3" xfId="2423" xr:uid="{75BC1000-DE3A-4F2D-8D10-0785294E0D09}"/>
    <cellStyle name="Normal 18 4 2 2 2 3 3" xfId="1035" xr:uid="{00000000-0005-0000-0000-00000B040000}"/>
    <cellStyle name="Normal 18 4 2 2 2 3 3 2" xfId="2425" xr:uid="{771C4E21-FA9C-4C8A-A8C4-4733ACB69092}"/>
    <cellStyle name="Normal 18 4 2 2 2 3 4" xfId="2422" xr:uid="{61069B1C-DF81-4B33-9905-4AF09EDAB3B7}"/>
    <cellStyle name="Normal 18 4 2 2 2 4" xfId="1036" xr:uid="{00000000-0005-0000-0000-00000C040000}"/>
    <cellStyle name="Normal 18 4 2 2 2 4 2" xfId="1037" xr:uid="{00000000-0005-0000-0000-00000D040000}"/>
    <cellStyle name="Normal 18 4 2 2 2 4 2 2" xfId="2427" xr:uid="{2DC8B7FB-531F-457D-9345-47B473D90B33}"/>
    <cellStyle name="Normal 18 4 2 2 2 4 3" xfId="2426" xr:uid="{2E672889-B372-4C18-B0F8-0AAD44AA0085}"/>
    <cellStyle name="Normal 18 4 2 2 2 5" xfId="1038" xr:uid="{00000000-0005-0000-0000-00000E040000}"/>
    <cellStyle name="Normal 18 4 2 2 2 5 2" xfId="1039" xr:uid="{00000000-0005-0000-0000-00000F040000}"/>
    <cellStyle name="Normal 18 4 2 2 2 5 2 2" xfId="2429" xr:uid="{BDC7EA39-598D-47B4-AF78-AC84475A82E0}"/>
    <cellStyle name="Normal 18 4 2 2 2 5 3" xfId="2428" xr:uid="{B93EA617-6FEF-4449-9435-3CDA97258687}"/>
    <cellStyle name="Normal 18 4 2 2 2 6" xfId="1040" xr:uid="{00000000-0005-0000-0000-000010040000}"/>
    <cellStyle name="Normal 18 4 2 2 2 6 2" xfId="2430" xr:uid="{3E9AF0A7-6F0B-4F97-AB3B-E6D6E5A33203}"/>
    <cellStyle name="Normal 18 4 2 2 2 7" xfId="2417" xr:uid="{B1B2DF2A-E5C6-40EC-A1F7-0D9A2CF82824}"/>
    <cellStyle name="Normal 18 4 2 2 3" xfId="1041" xr:uid="{00000000-0005-0000-0000-000011040000}"/>
    <cellStyle name="Normal 18 4 2 2 3 2" xfId="1042" xr:uid="{00000000-0005-0000-0000-000012040000}"/>
    <cellStyle name="Normal 18 4 2 2 3 2 2" xfId="1043" xr:uid="{00000000-0005-0000-0000-000013040000}"/>
    <cellStyle name="Normal 18 4 2 2 3 2 2 2" xfId="2433" xr:uid="{787B3FB6-887F-46CD-A205-52465BE87522}"/>
    <cellStyle name="Normal 18 4 2 2 3 2 3" xfId="2432" xr:uid="{95E8144A-213E-4043-A08F-12BE57E449E3}"/>
    <cellStyle name="Normal 18 4 2 2 3 3" xfId="1044" xr:uid="{00000000-0005-0000-0000-000014040000}"/>
    <cellStyle name="Normal 18 4 2 2 3 3 2" xfId="2434" xr:uid="{8C53D3C4-4147-475B-A5BF-C85EBC9A58EB}"/>
    <cellStyle name="Normal 18 4 2 2 3 4" xfId="2431" xr:uid="{194AD5FC-D4D8-4A47-A409-C3D7BFF8917A}"/>
    <cellStyle name="Normal 18 4 2 2 4" xfId="1045" xr:uid="{00000000-0005-0000-0000-000015040000}"/>
    <cellStyle name="Normal 18 4 2 2 4 2" xfId="1046" xr:uid="{00000000-0005-0000-0000-000016040000}"/>
    <cellStyle name="Normal 18 4 2 2 4 2 2" xfId="1047" xr:uid="{00000000-0005-0000-0000-000017040000}"/>
    <cellStyle name="Normal 18 4 2 2 4 2 2 2" xfId="2437" xr:uid="{3C281CBD-D92C-4E95-BB2A-96C486DC1ABD}"/>
    <cellStyle name="Normal 18 4 2 2 4 2 3" xfId="2436" xr:uid="{B7044033-2BF0-459F-8D2D-24C959FA35C1}"/>
    <cellStyle name="Normal 18 4 2 2 4 3" xfId="1048" xr:uid="{00000000-0005-0000-0000-000018040000}"/>
    <cellStyle name="Normal 18 4 2 2 4 3 2" xfId="2438" xr:uid="{FBF914D6-7A96-4AA5-9742-A4A1DAD0C6D4}"/>
    <cellStyle name="Normal 18 4 2 2 4 4" xfId="2435" xr:uid="{749FB3B1-6BF3-4AB4-B018-20FBB8CFF76D}"/>
    <cellStyle name="Normal 18 4 2 2 5" xfId="1049" xr:uid="{00000000-0005-0000-0000-000019040000}"/>
    <cellStyle name="Normal 18 4 2 2 5 2" xfId="1050" xr:uid="{00000000-0005-0000-0000-00001A040000}"/>
    <cellStyle name="Normal 18 4 2 2 5 2 2" xfId="2440" xr:uid="{554267AD-FB20-4FFF-B38A-DDA37A5A4028}"/>
    <cellStyle name="Normal 18 4 2 2 5 3" xfId="2439" xr:uid="{5DBA0C4C-32AC-40AC-92A8-8A4DD65A598B}"/>
    <cellStyle name="Normal 18 4 2 2 6" xfId="1051" xr:uid="{00000000-0005-0000-0000-00001B040000}"/>
    <cellStyle name="Normal 18 4 2 2 6 2" xfId="1052" xr:uid="{00000000-0005-0000-0000-00001C040000}"/>
    <cellStyle name="Normal 18 4 2 2 6 2 2" xfId="2442" xr:uid="{B2FEFD38-555F-4BED-B48A-29AB3E28B1E5}"/>
    <cellStyle name="Normal 18 4 2 2 6 3" xfId="2441" xr:uid="{823F859A-AEE8-458F-8490-15FB971D61F2}"/>
    <cellStyle name="Normal 18 4 2 2 7" xfId="1053" xr:uid="{00000000-0005-0000-0000-00001D040000}"/>
    <cellStyle name="Normal 18 4 2 2 7 2" xfId="2443" xr:uid="{F384D41A-F1ED-4885-905A-6B28096EC220}"/>
    <cellStyle name="Normal 18 4 2 2 8" xfId="2416" xr:uid="{D520875D-9322-4A91-AA9A-5C0782373159}"/>
    <cellStyle name="Normal 18 4 2 3" xfId="1054" xr:uid="{00000000-0005-0000-0000-00001E040000}"/>
    <cellStyle name="Normal 18 4 2 3 2" xfId="1055" xr:uid="{00000000-0005-0000-0000-00001F040000}"/>
    <cellStyle name="Normal 18 4 2 3 2 2" xfId="1056" xr:uid="{00000000-0005-0000-0000-000020040000}"/>
    <cellStyle name="Normal 18 4 2 3 2 2 2" xfId="1057" xr:uid="{00000000-0005-0000-0000-000021040000}"/>
    <cellStyle name="Normal 18 4 2 3 2 2 2 2" xfId="2447" xr:uid="{C02A8236-6868-4B7B-A735-32BED3F8304C}"/>
    <cellStyle name="Normal 18 4 2 3 2 2 3" xfId="2446" xr:uid="{39096525-52A6-4A6D-9F36-5D7EB6F69D46}"/>
    <cellStyle name="Normal 18 4 2 3 2 3" xfId="1058" xr:uid="{00000000-0005-0000-0000-000022040000}"/>
    <cellStyle name="Normal 18 4 2 3 2 3 2" xfId="2448" xr:uid="{44BF2AA0-4B40-4371-BA85-976829E1FC06}"/>
    <cellStyle name="Normal 18 4 2 3 2 4" xfId="2445" xr:uid="{A7D05C8F-1026-4B1D-85FD-E15E5213E3BF}"/>
    <cellStyle name="Normal 18 4 2 3 3" xfId="1059" xr:uid="{00000000-0005-0000-0000-000023040000}"/>
    <cellStyle name="Normal 18 4 2 3 3 2" xfId="1060" xr:uid="{00000000-0005-0000-0000-000024040000}"/>
    <cellStyle name="Normal 18 4 2 3 3 2 2" xfId="1061" xr:uid="{00000000-0005-0000-0000-000025040000}"/>
    <cellStyle name="Normal 18 4 2 3 3 2 2 2" xfId="2451" xr:uid="{F6E8FEF9-F179-4DBD-B03C-EEE40904B0FA}"/>
    <cellStyle name="Normal 18 4 2 3 3 2 3" xfId="2450" xr:uid="{D184B0ED-BEB5-4895-8112-1B67A95CE01C}"/>
    <cellStyle name="Normal 18 4 2 3 3 3" xfId="1062" xr:uid="{00000000-0005-0000-0000-000026040000}"/>
    <cellStyle name="Normal 18 4 2 3 3 3 2" xfId="2452" xr:uid="{043C57F8-461F-4A68-A276-AF4327D6233E}"/>
    <cellStyle name="Normal 18 4 2 3 3 4" xfId="2449" xr:uid="{567B6859-4D23-4F00-A587-E2EC9DAB437B}"/>
    <cellStyle name="Normal 18 4 2 3 4" xfId="1063" xr:uid="{00000000-0005-0000-0000-000027040000}"/>
    <cellStyle name="Normal 18 4 2 3 4 2" xfId="1064" xr:uid="{00000000-0005-0000-0000-000028040000}"/>
    <cellStyle name="Normal 18 4 2 3 4 2 2" xfId="2454" xr:uid="{992AE5AE-C9CB-423B-B8C4-47670D52CFF9}"/>
    <cellStyle name="Normal 18 4 2 3 4 3" xfId="2453" xr:uid="{033F5F37-3B38-46C0-95A5-FEC5AC7FF150}"/>
    <cellStyle name="Normal 18 4 2 3 5" xfId="1065" xr:uid="{00000000-0005-0000-0000-000029040000}"/>
    <cellStyle name="Normal 18 4 2 3 5 2" xfId="1066" xr:uid="{00000000-0005-0000-0000-00002A040000}"/>
    <cellStyle name="Normal 18 4 2 3 5 2 2" xfId="2456" xr:uid="{6F1D3548-76AC-4FCF-A5CA-92062E61D4E5}"/>
    <cellStyle name="Normal 18 4 2 3 5 3" xfId="2455" xr:uid="{05505836-B8F4-4A0F-B729-61D31CB14159}"/>
    <cellStyle name="Normal 18 4 2 3 6" xfId="1067" xr:uid="{00000000-0005-0000-0000-00002B040000}"/>
    <cellStyle name="Normal 18 4 2 3 6 2" xfId="2457" xr:uid="{F2D681A7-20D2-460D-B280-7101E9ABA7F9}"/>
    <cellStyle name="Normal 18 4 2 3 7" xfId="2444" xr:uid="{CC4E7A9A-E823-4294-965E-ADDAEDE35201}"/>
    <cellStyle name="Normal 18 4 2 4" xfId="1068" xr:uid="{00000000-0005-0000-0000-00002C040000}"/>
    <cellStyle name="Normal 18 4 2 4 2" xfId="1069" xr:uid="{00000000-0005-0000-0000-00002D040000}"/>
    <cellStyle name="Normal 18 4 2 4 2 2" xfId="1070" xr:uid="{00000000-0005-0000-0000-00002E040000}"/>
    <cellStyle name="Normal 18 4 2 4 2 2 2" xfId="1071" xr:uid="{00000000-0005-0000-0000-00002F040000}"/>
    <cellStyle name="Normal 18 4 2 4 2 2 2 2" xfId="2461" xr:uid="{86521B68-B4E9-4E97-9248-5E8A5C7D3414}"/>
    <cellStyle name="Normal 18 4 2 4 2 2 3" xfId="2460" xr:uid="{274A0E44-9791-41C8-94CD-B06911358E0B}"/>
    <cellStyle name="Normal 18 4 2 4 2 3" xfId="1072" xr:uid="{00000000-0005-0000-0000-000030040000}"/>
    <cellStyle name="Normal 18 4 2 4 2 3 2" xfId="2462" xr:uid="{53A9B650-49A6-422B-9AEC-58D108116B1A}"/>
    <cellStyle name="Normal 18 4 2 4 2 4" xfId="2459" xr:uid="{AB9322C5-92BF-415E-BE4E-40828B53C19E}"/>
    <cellStyle name="Normal 18 4 2 4 3" xfId="1073" xr:uid="{00000000-0005-0000-0000-000031040000}"/>
    <cellStyle name="Normal 18 4 2 4 3 2" xfId="1074" xr:uid="{00000000-0005-0000-0000-000032040000}"/>
    <cellStyle name="Normal 18 4 2 4 3 2 2" xfId="2464" xr:uid="{91C03AC1-B159-4D9A-B7AF-8CB99BAFEFE5}"/>
    <cellStyle name="Normal 18 4 2 4 3 3" xfId="2463" xr:uid="{0C094686-D2D6-4265-8041-C48CC5122AA8}"/>
    <cellStyle name="Normal 18 4 2 4 4" xfId="1075" xr:uid="{00000000-0005-0000-0000-000033040000}"/>
    <cellStyle name="Normal 18 4 2 4 4 2" xfId="1076" xr:uid="{00000000-0005-0000-0000-000034040000}"/>
    <cellStyle name="Normal 18 4 2 4 4 2 2" xfId="2466" xr:uid="{6BE1E492-2FFF-4853-AE7F-39663BEB0DDB}"/>
    <cellStyle name="Normal 18 4 2 4 4 3" xfId="2465" xr:uid="{3217C023-64E3-4181-8063-721A24F856F1}"/>
    <cellStyle name="Normal 18 4 2 4 5" xfId="1077" xr:uid="{00000000-0005-0000-0000-000035040000}"/>
    <cellStyle name="Normal 18 4 2 4 5 2" xfId="2467" xr:uid="{80A1C667-CF96-402A-915E-8EB0E49C520F}"/>
    <cellStyle name="Normal 18 4 2 4 6" xfId="2458" xr:uid="{D60FF1CF-0D14-40DD-A030-D7F626770FE2}"/>
    <cellStyle name="Normal 18 4 2 5" xfId="1078" xr:uid="{00000000-0005-0000-0000-000036040000}"/>
    <cellStyle name="Normal 18 4 2 5 2" xfId="1079" xr:uid="{00000000-0005-0000-0000-000037040000}"/>
    <cellStyle name="Normal 18 4 2 5 2 2" xfId="1080" xr:uid="{00000000-0005-0000-0000-000038040000}"/>
    <cellStyle name="Normal 18 4 2 5 2 2 2" xfId="1081" xr:uid="{00000000-0005-0000-0000-000039040000}"/>
    <cellStyle name="Normal 18 4 2 5 2 2 2 2" xfId="2471" xr:uid="{3FCB96C1-8BE1-4F01-BFC0-F90EA0851422}"/>
    <cellStyle name="Normal 18 4 2 5 2 2 3" xfId="2470" xr:uid="{71EBC665-5939-4BB0-82E6-B6A473C2A1B4}"/>
    <cellStyle name="Normal 18 4 2 5 2 3" xfId="1082" xr:uid="{00000000-0005-0000-0000-00003A040000}"/>
    <cellStyle name="Normal 18 4 2 5 2 3 2" xfId="2472" xr:uid="{C8567E8F-AF36-45FD-AAC8-311EC01B94E5}"/>
    <cellStyle name="Normal 18 4 2 5 2 4" xfId="2469" xr:uid="{B6B33012-832E-4E2B-8071-E2BC00215827}"/>
    <cellStyle name="Normal 18 4 2 5 3" xfId="1083" xr:uid="{00000000-0005-0000-0000-00003B040000}"/>
    <cellStyle name="Normal 18 4 2 5 3 2" xfId="1084" xr:uid="{00000000-0005-0000-0000-00003C040000}"/>
    <cellStyle name="Normal 18 4 2 5 3 2 2" xfId="2474" xr:uid="{22A87C06-F29B-4C1E-9046-35090CAED705}"/>
    <cellStyle name="Normal 18 4 2 5 3 3" xfId="2473" xr:uid="{9F810119-FC4B-4753-87E3-A7394A5C65F0}"/>
    <cellStyle name="Normal 18 4 2 5 4" xfId="1085" xr:uid="{00000000-0005-0000-0000-00003D040000}"/>
    <cellStyle name="Normal 18 4 2 5 4 2" xfId="1086" xr:uid="{00000000-0005-0000-0000-00003E040000}"/>
    <cellStyle name="Normal 18 4 2 5 4 2 2" xfId="2476" xr:uid="{322FBFC7-19C5-4FF7-ABBC-826BDE6A199D}"/>
    <cellStyle name="Normal 18 4 2 5 4 3" xfId="2475" xr:uid="{9F93C39F-4410-43C2-AF16-2AB51599D2DF}"/>
    <cellStyle name="Normal 18 4 2 5 5" xfId="1087" xr:uid="{00000000-0005-0000-0000-00003F040000}"/>
    <cellStyle name="Normal 18 4 2 5 5 2" xfId="2477" xr:uid="{D7BB1A8E-82F7-4FEC-86C5-E85654B95B28}"/>
    <cellStyle name="Normal 18 4 2 5 6" xfId="2468" xr:uid="{B336FA2F-1EED-433F-913D-C507EA6021A2}"/>
    <cellStyle name="Normal 18 4 2 6" xfId="1088" xr:uid="{00000000-0005-0000-0000-000040040000}"/>
    <cellStyle name="Normal 18 4 2 6 2" xfId="1089" xr:uid="{00000000-0005-0000-0000-000041040000}"/>
    <cellStyle name="Normal 18 4 2 6 2 2" xfId="1090" xr:uid="{00000000-0005-0000-0000-000042040000}"/>
    <cellStyle name="Normal 18 4 2 6 2 2 2" xfId="2480" xr:uid="{EEE01BCB-15C2-43B3-B5AE-F438E640FEE2}"/>
    <cellStyle name="Normal 18 4 2 6 2 3" xfId="2479" xr:uid="{7497B46E-B107-4EB3-B8D4-8ABB1D037514}"/>
    <cellStyle name="Normal 18 4 2 6 3" xfId="1091" xr:uid="{00000000-0005-0000-0000-000043040000}"/>
    <cellStyle name="Normal 18 4 2 6 3 2" xfId="2481" xr:uid="{ECD87FB4-5E43-42A6-9F1C-064440DAED2E}"/>
    <cellStyle name="Normal 18 4 2 6 4" xfId="2478" xr:uid="{2DD72774-89D8-418C-B00D-1510F3241692}"/>
    <cellStyle name="Normal 18 4 2 7" xfId="1092" xr:uid="{00000000-0005-0000-0000-000044040000}"/>
    <cellStyle name="Normal 18 4 2 7 2" xfId="1093" xr:uid="{00000000-0005-0000-0000-000045040000}"/>
    <cellStyle name="Normal 18 4 2 7 2 2" xfId="1094" xr:uid="{00000000-0005-0000-0000-000046040000}"/>
    <cellStyle name="Normal 18 4 2 7 2 2 2" xfId="2484" xr:uid="{70122581-F923-41D2-9623-FE49C32E17FB}"/>
    <cellStyle name="Normal 18 4 2 7 2 3" xfId="2483" xr:uid="{2FCFC938-3986-4B32-B707-BE0C2E32A893}"/>
    <cellStyle name="Normal 18 4 2 7 3" xfId="1095" xr:uid="{00000000-0005-0000-0000-000047040000}"/>
    <cellStyle name="Normal 18 4 2 7 3 2" xfId="2485" xr:uid="{D820C1BD-3707-490C-AC25-04D14EC4072D}"/>
    <cellStyle name="Normal 18 4 2 7 4" xfId="2482" xr:uid="{6EF5BBA2-3FA9-412F-8280-11DE316D5C67}"/>
    <cellStyle name="Normal 18 4 2 8" xfId="1096" xr:uid="{00000000-0005-0000-0000-000048040000}"/>
    <cellStyle name="Normal 18 4 2 8 2" xfId="1097" xr:uid="{00000000-0005-0000-0000-000049040000}"/>
    <cellStyle name="Normal 18 4 2 8 2 2" xfId="2487" xr:uid="{D041255B-16C8-4753-9411-84A36E60E55B}"/>
    <cellStyle name="Normal 18 4 2 8 3" xfId="2486" xr:uid="{2E131591-A3AC-46C5-AC49-9014937E97CE}"/>
    <cellStyle name="Normal 18 4 2 9" xfId="1098" xr:uid="{00000000-0005-0000-0000-00004A040000}"/>
    <cellStyle name="Normal 18 4 2 9 2" xfId="1099" xr:uid="{00000000-0005-0000-0000-00004B040000}"/>
    <cellStyle name="Normal 18 4 2 9 2 2" xfId="2489" xr:uid="{6FEC6348-69E9-480B-B8DF-55A1F7C5548C}"/>
    <cellStyle name="Normal 18 4 2 9 3" xfId="2488" xr:uid="{DF1F4DF3-B79D-4A8B-8F0B-BF32CA52BA3B}"/>
    <cellStyle name="Normal 18 4 3" xfId="1100" xr:uid="{00000000-0005-0000-0000-00004C040000}"/>
    <cellStyle name="Normal 18 4 3 2" xfId="1101" xr:uid="{00000000-0005-0000-0000-00004D040000}"/>
    <cellStyle name="Normal 18 4 3 2 2" xfId="1102" xr:uid="{00000000-0005-0000-0000-00004E040000}"/>
    <cellStyle name="Normal 18 4 3 2 2 2" xfId="1103" xr:uid="{00000000-0005-0000-0000-00004F040000}"/>
    <cellStyle name="Normal 18 4 3 2 2 2 2" xfId="1104" xr:uid="{00000000-0005-0000-0000-000050040000}"/>
    <cellStyle name="Normal 18 4 3 2 2 2 2 2" xfId="2494" xr:uid="{FD96FBF3-836C-446C-AFEA-49C437BDB7E6}"/>
    <cellStyle name="Normal 18 4 3 2 2 2 3" xfId="2493" xr:uid="{DA3FF6AC-2DE5-44BB-B75A-8E35928E28E8}"/>
    <cellStyle name="Normal 18 4 3 2 2 3" xfId="1105" xr:uid="{00000000-0005-0000-0000-000051040000}"/>
    <cellStyle name="Normal 18 4 3 2 2 3 2" xfId="2495" xr:uid="{32AEA607-B324-46DD-B093-DC96FDC67453}"/>
    <cellStyle name="Normal 18 4 3 2 2 4" xfId="2492" xr:uid="{0B6EFC50-82BE-41F9-AD67-A3CE19BBF0C0}"/>
    <cellStyle name="Normal 18 4 3 2 3" xfId="1106" xr:uid="{00000000-0005-0000-0000-000052040000}"/>
    <cellStyle name="Normal 18 4 3 2 3 2" xfId="1107" xr:uid="{00000000-0005-0000-0000-000053040000}"/>
    <cellStyle name="Normal 18 4 3 2 3 2 2" xfId="1108" xr:uid="{00000000-0005-0000-0000-000054040000}"/>
    <cellStyle name="Normal 18 4 3 2 3 2 2 2" xfId="2498" xr:uid="{05CA19BA-96EB-405C-9309-BDF95B67EDA9}"/>
    <cellStyle name="Normal 18 4 3 2 3 2 3" xfId="2497" xr:uid="{CA4B1DEE-826D-428A-ABCD-EBB8BBF9D7DD}"/>
    <cellStyle name="Normal 18 4 3 2 3 3" xfId="1109" xr:uid="{00000000-0005-0000-0000-000055040000}"/>
    <cellStyle name="Normal 18 4 3 2 3 3 2" xfId="2499" xr:uid="{BF4D57EC-BDF5-47FC-B262-ED6DDCDBC690}"/>
    <cellStyle name="Normal 18 4 3 2 3 4" xfId="2496" xr:uid="{03744333-DCED-4052-9F4B-A53B609D89F2}"/>
    <cellStyle name="Normal 18 4 3 2 4" xfId="1110" xr:uid="{00000000-0005-0000-0000-000056040000}"/>
    <cellStyle name="Normal 18 4 3 2 4 2" xfId="1111" xr:uid="{00000000-0005-0000-0000-000057040000}"/>
    <cellStyle name="Normal 18 4 3 2 4 2 2" xfId="2501" xr:uid="{3B5B6A58-37FA-4F64-8923-A12E82577389}"/>
    <cellStyle name="Normal 18 4 3 2 4 3" xfId="2500" xr:uid="{241BD283-EB00-4B4A-93C6-087205393D99}"/>
    <cellStyle name="Normal 18 4 3 2 5" xfId="1112" xr:uid="{00000000-0005-0000-0000-000058040000}"/>
    <cellStyle name="Normal 18 4 3 2 5 2" xfId="1113" xr:uid="{00000000-0005-0000-0000-000059040000}"/>
    <cellStyle name="Normal 18 4 3 2 5 2 2" xfId="2503" xr:uid="{CFD66471-1A4C-4BC4-A1EA-CBC1EF1F1DA8}"/>
    <cellStyle name="Normal 18 4 3 2 5 3" xfId="2502" xr:uid="{394A78DA-77D3-49CA-B1E5-C018A681A82E}"/>
    <cellStyle name="Normal 18 4 3 2 6" xfId="1114" xr:uid="{00000000-0005-0000-0000-00005A040000}"/>
    <cellStyle name="Normal 18 4 3 2 6 2" xfId="2504" xr:uid="{BE88F486-5927-427D-8B89-B863A1EBE1D9}"/>
    <cellStyle name="Normal 18 4 3 2 7" xfId="2491" xr:uid="{8748E3FA-1CFA-46C3-A5D4-D21C7453B64D}"/>
    <cellStyle name="Normal 18 4 3 3" xfId="1115" xr:uid="{00000000-0005-0000-0000-00005B040000}"/>
    <cellStyle name="Normal 18 4 3 3 2" xfId="1116" xr:uid="{00000000-0005-0000-0000-00005C040000}"/>
    <cellStyle name="Normal 18 4 3 3 2 2" xfId="1117" xr:uid="{00000000-0005-0000-0000-00005D040000}"/>
    <cellStyle name="Normal 18 4 3 3 2 2 2" xfId="2507" xr:uid="{707528EB-F777-497E-AB10-EE0143B3CD55}"/>
    <cellStyle name="Normal 18 4 3 3 2 3" xfId="2506" xr:uid="{43A58994-C843-40EE-A633-6A7C19E305FA}"/>
    <cellStyle name="Normal 18 4 3 3 3" xfId="1118" xr:uid="{00000000-0005-0000-0000-00005E040000}"/>
    <cellStyle name="Normal 18 4 3 3 3 2" xfId="2508" xr:uid="{B27A7BB0-770D-42C7-B5D2-82971EDBDC08}"/>
    <cellStyle name="Normal 18 4 3 3 4" xfId="2505" xr:uid="{E29A3D71-4F73-4CA3-B76E-89554AD60A9A}"/>
    <cellStyle name="Normal 18 4 3 4" xfId="1119" xr:uid="{00000000-0005-0000-0000-00005F040000}"/>
    <cellStyle name="Normal 18 4 3 4 2" xfId="1120" xr:uid="{00000000-0005-0000-0000-000060040000}"/>
    <cellStyle name="Normal 18 4 3 4 2 2" xfId="1121" xr:uid="{00000000-0005-0000-0000-000061040000}"/>
    <cellStyle name="Normal 18 4 3 4 2 2 2" xfId="2511" xr:uid="{2F506492-938F-4E77-BBD7-B52556D38A7B}"/>
    <cellStyle name="Normal 18 4 3 4 2 3" xfId="2510" xr:uid="{F29FC337-FADE-4A79-88E8-A4655C18AC29}"/>
    <cellStyle name="Normal 18 4 3 4 3" xfId="1122" xr:uid="{00000000-0005-0000-0000-000062040000}"/>
    <cellStyle name="Normal 18 4 3 4 3 2" xfId="2512" xr:uid="{87FEE18C-3AD6-40EB-90E6-0CC62076D105}"/>
    <cellStyle name="Normal 18 4 3 4 4" xfId="2509" xr:uid="{947D22D0-07B8-4093-8B08-546A4568FA23}"/>
    <cellStyle name="Normal 18 4 3 5" xfId="1123" xr:uid="{00000000-0005-0000-0000-000063040000}"/>
    <cellStyle name="Normal 18 4 3 5 2" xfId="1124" xr:uid="{00000000-0005-0000-0000-000064040000}"/>
    <cellStyle name="Normal 18 4 3 5 2 2" xfId="2514" xr:uid="{7EAE28BA-F29E-4A8A-8A5A-8C86A1D1F424}"/>
    <cellStyle name="Normal 18 4 3 5 3" xfId="2513" xr:uid="{3F29B5CB-D99E-4B2E-A142-C9FAD0E1D8B0}"/>
    <cellStyle name="Normal 18 4 3 6" xfId="1125" xr:uid="{00000000-0005-0000-0000-000065040000}"/>
    <cellStyle name="Normal 18 4 3 6 2" xfId="1126" xr:uid="{00000000-0005-0000-0000-000066040000}"/>
    <cellStyle name="Normal 18 4 3 6 2 2" xfId="2516" xr:uid="{58A0B442-F63B-4404-94CB-9F4C57A1788B}"/>
    <cellStyle name="Normal 18 4 3 6 3" xfId="2515" xr:uid="{F916A776-8A33-4F3B-8615-593B5808936F}"/>
    <cellStyle name="Normal 18 4 3 7" xfId="1127" xr:uid="{00000000-0005-0000-0000-000067040000}"/>
    <cellStyle name="Normal 18 4 3 7 2" xfId="2517" xr:uid="{27A40C08-1C0C-4DD6-A9E8-DF37B93FE83F}"/>
    <cellStyle name="Normal 18 4 3 8" xfId="2490" xr:uid="{8595C3EF-98CE-4D68-A220-1A383C32E55C}"/>
    <cellStyle name="Normal 18 4 4" xfId="1128" xr:uid="{00000000-0005-0000-0000-000068040000}"/>
    <cellStyle name="Normal 18 4 4 2" xfId="1129" xr:uid="{00000000-0005-0000-0000-000069040000}"/>
    <cellStyle name="Normal 18 4 4 2 2" xfId="1130" xr:uid="{00000000-0005-0000-0000-00006A040000}"/>
    <cellStyle name="Normal 18 4 4 2 2 2" xfId="1131" xr:uid="{00000000-0005-0000-0000-00006B040000}"/>
    <cellStyle name="Normal 18 4 4 2 2 2 2" xfId="2521" xr:uid="{380FC171-B8CB-49E3-B6F6-E0D35EB8C844}"/>
    <cellStyle name="Normal 18 4 4 2 2 3" xfId="2520" xr:uid="{6458F108-AB42-4783-91AF-E0BB4DEFF445}"/>
    <cellStyle name="Normal 18 4 4 2 3" xfId="1132" xr:uid="{00000000-0005-0000-0000-00006C040000}"/>
    <cellStyle name="Normal 18 4 4 2 3 2" xfId="2522" xr:uid="{14BF43EF-79E2-46AA-A8F1-27B441B2E9DA}"/>
    <cellStyle name="Normal 18 4 4 2 4" xfId="2519" xr:uid="{2BA440CA-8968-4638-BF56-C2950F457950}"/>
    <cellStyle name="Normal 18 4 4 3" xfId="1133" xr:uid="{00000000-0005-0000-0000-00006D040000}"/>
    <cellStyle name="Normal 18 4 4 3 2" xfId="1134" xr:uid="{00000000-0005-0000-0000-00006E040000}"/>
    <cellStyle name="Normal 18 4 4 3 2 2" xfId="1135" xr:uid="{00000000-0005-0000-0000-00006F040000}"/>
    <cellStyle name="Normal 18 4 4 3 2 2 2" xfId="2525" xr:uid="{1330106A-3B6A-44C1-8EB6-AEFB0EAB5608}"/>
    <cellStyle name="Normal 18 4 4 3 2 3" xfId="2524" xr:uid="{6CA2AF2E-4709-4501-B5AD-42A60D708682}"/>
    <cellStyle name="Normal 18 4 4 3 3" xfId="1136" xr:uid="{00000000-0005-0000-0000-000070040000}"/>
    <cellStyle name="Normal 18 4 4 3 3 2" xfId="2526" xr:uid="{AE7E65B5-2AC5-43FA-A75A-B3500D091877}"/>
    <cellStyle name="Normal 18 4 4 3 4" xfId="2523" xr:uid="{0D473EBB-EF44-4A13-B46D-92CCFC6CB605}"/>
    <cellStyle name="Normal 18 4 4 4" xfId="1137" xr:uid="{00000000-0005-0000-0000-000071040000}"/>
    <cellStyle name="Normal 18 4 4 4 2" xfId="1138" xr:uid="{00000000-0005-0000-0000-000072040000}"/>
    <cellStyle name="Normal 18 4 4 4 2 2" xfId="2528" xr:uid="{3BA5F0E4-BC7D-4D17-B326-DF49F06DBC3E}"/>
    <cellStyle name="Normal 18 4 4 4 3" xfId="2527" xr:uid="{938BD937-8DED-44DA-B76C-4424E9894E0B}"/>
    <cellStyle name="Normal 18 4 4 5" xfId="1139" xr:uid="{00000000-0005-0000-0000-000073040000}"/>
    <cellStyle name="Normal 18 4 4 5 2" xfId="1140" xr:uid="{00000000-0005-0000-0000-000074040000}"/>
    <cellStyle name="Normal 18 4 4 5 2 2" xfId="2530" xr:uid="{B41E9B1C-4B5D-47DD-8159-3DB76941FADE}"/>
    <cellStyle name="Normal 18 4 4 5 3" xfId="2529" xr:uid="{558B37D3-2084-4CD3-A42B-94654D213F07}"/>
    <cellStyle name="Normal 18 4 4 6" xfId="1141" xr:uid="{00000000-0005-0000-0000-000075040000}"/>
    <cellStyle name="Normal 18 4 4 6 2" xfId="2531" xr:uid="{A1EF8083-1F9D-47E0-8E0F-E56311EC9150}"/>
    <cellStyle name="Normal 18 4 4 7" xfId="2518" xr:uid="{72815B59-536E-4656-A251-9B5CB3CA8046}"/>
    <cellStyle name="Normal 18 4 5" xfId="1142" xr:uid="{00000000-0005-0000-0000-000076040000}"/>
    <cellStyle name="Normal 18 4 5 2" xfId="1143" xr:uid="{00000000-0005-0000-0000-000077040000}"/>
    <cellStyle name="Normal 18 4 5 2 2" xfId="1144" xr:uid="{00000000-0005-0000-0000-000078040000}"/>
    <cellStyle name="Normal 18 4 5 2 2 2" xfId="1145" xr:uid="{00000000-0005-0000-0000-000079040000}"/>
    <cellStyle name="Normal 18 4 5 2 2 2 2" xfId="2535" xr:uid="{F0556C86-8946-418E-9845-41D59B32AFA0}"/>
    <cellStyle name="Normal 18 4 5 2 2 3" xfId="2534" xr:uid="{72881ABD-6941-45D5-A3BA-0C6083A84389}"/>
    <cellStyle name="Normal 18 4 5 2 3" xfId="1146" xr:uid="{00000000-0005-0000-0000-00007A040000}"/>
    <cellStyle name="Normal 18 4 5 2 3 2" xfId="2536" xr:uid="{179D568A-565F-4F81-B0F1-04FD88ABA3C5}"/>
    <cellStyle name="Normal 18 4 5 2 4" xfId="2533" xr:uid="{9FD9579C-3E57-4D2E-BEAB-6AB21260FFC5}"/>
    <cellStyle name="Normal 18 4 5 3" xfId="1147" xr:uid="{00000000-0005-0000-0000-00007B040000}"/>
    <cellStyle name="Normal 18 4 5 3 2" xfId="1148" xr:uid="{00000000-0005-0000-0000-00007C040000}"/>
    <cellStyle name="Normal 18 4 5 3 2 2" xfId="2538" xr:uid="{36D55D5E-7705-4109-B6E2-F0815796B7D9}"/>
    <cellStyle name="Normal 18 4 5 3 3" xfId="2537" xr:uid="{446DD676-2065-4406-8BAF-075DA1CDFF3F}"/>
    <cellStyle name="Normal 18 4 5 4" xfId="1149" xr:uid="{00000000-0005-0000-0000-00007D040000}"/>
    <cellStyle name="Normal 18 4 5 4 2" xfId="1150" xr:uid="{00000000-0005-0000-0000-00007E040000}"/>
    <cellStyle name="Normal 18 4 5 4 2 2" xfId="2540" xr:uid="{E217D22A-808E-47F0-B536-E8FF423D9D30}"/>
    <cellStyle name="Normal 18 4 5 4 3" xfId="2539" xr:uid="{DE3C274B-E64B-4A9D-9CA3-1A0DE9392197}"/>
    <cellStyle name="Normal 18 4 5 5" xfId="1151" xr:uid="{00000000-0005-0000-0000-00007F040000}"/>
    <cellStyle name="Normal 18 4 5 5 2" xfId="2541" xr:uid="{43BF9542-350D-4927-991D-6BC8BF8620A3}"/>
    <cellStyle name="Normal 18 4 5 6" xfId="2532" xr:uid="{9DB29425-246D-4ED0-8B46-0DB909C3F18B}"/>
    <cellStyle name="Normal 18 4 6" xfId="1152" xr:uid="{00000000-0005-0000-0000-000080040000}"/>
    <cellStyle name="Normal 18 4 6 2" xfId="1153" xr:uid="{00000000-0005-0000-0000-000081040000}"/>
    <cellStyle name="Normal 18 4 6 2 2" xfId="1154" xr:uid="{00000000-0005-0000-0000-000082040000}"/>
    <cellStyle name="Normal 18 4 6 2 2 2" xfId="1155" xr:uid="{00000000-0005-0000-0000-000083040000}"/>
    <cellStyle name="Normal 18 4 6 2 2 2 2" xfId="2545" xr:uid="{337D4F91-D0FF-4CE7-A613-7069177E1CBF}"/>
    <cellStyle name="Normal 18 4 6 2 2 3" xfId="2544" xr:uid="{A31E6F68-518D-4763-8204-888F717E76A1}"/>
    <cellStyle name="Normal 18 4 6 2 3" xfId="1156" xr:uid="{00000000-0005-0000-0000-000084040000}"/>
    <cellStyle name="Normal 18 4 6 2 3 2" xfId="2546" xr:uid="{5FB34AD8-C32D-4412-8F73-96220E0C6FDB}"/>
    <cellStyle name="Normal 18 4 6 2 4" xfId="2543" xr:uid="{23E78CAF-2EBB-41BE-91A0-7E29884CE999}"/>
    <cellStyle name="Normal 18 4 6 3" xfId="1157" xr:uid="{00000000-0005-0000-0000-000085040000}"/>
    <cellStyle name="Normal 18 4 6 3 2" xfId="1158" xr:uid="{00000000-0005-0000-0000-000086040000}"/>
    <cellStyle name="Normal 18 4 6 3 2 2" xfId="2548" xr:uid="{6F3DFF0B-5968-4E03-9089-3C2D8FF43942}"/>
    <cellStyle name="Normal 18 4 6 3 3" xfId="2547" xr:uid="{6B4DAAFE-5AF6-4204-8B68-244D5DDC4820}"/>
    <cellStyle name="Normal 18 4 6 4" xfId="1159" xr:uid="{00000000-0005-0000-0000-000087040000}"/>
    <cellStyle name="Normal 18 4 6 4 2" xfId="1160" xr:uid="{00000000-0005-0000-0000-000088040000}"/>
    <cellStyle name="Normal 18 4 6 4 2 2" xfId="2550" xr:uid="{3C0CE7BA-60A2-4F07-96E4-317EBABC0819}"/>
    <cellStyle name="Normal 18 4 6 4 3" xfId="2549" xr:uid="{484E4CEA-9AA1-461A-A2F0-28D84EB5E79C}"/>
    <cellStyle name="Normal 18 4 6 5" xfId="1161" xr:uid="{00000000-0005-0000-0000-000089040000}"/>
    <cellStyle name="Normal 18 4 6 5 2" xfId="2551" xr:uid="{1407CF39-8DAA-4F03-8ED0-BBEBAF4D736A}"/>
    <cellStyle name="Normal 18 4 6 6" xfId="2542" xr:uid="{8845670F-2E11-431F-9CB2-86774DBD8828}"/>
    <cellStyle name="Normal 18 4 7" xfId="1162" xr:uid="{00000000-0005-0000-0000-00008A040000}"/>
    <cellStyle name="Normal 18 4 7 2" xfId="1163" xr:uid="{00000000-0005-0000-0000-00008B040000}"/>
    <cellStyle name="Normal 18 4 7 2 2" xfId="1164" xr:uid="{00000000-0005-0000-0000-00008C040000}"/>
    <cellStyle name="Normal 18 4 7 2 2 2" xfId="2554" xr:uid="{C5D88D14-A9C6-4062-944C-C13EC6284FBC}"/>
    <cellStyle name="Normal 18 4 7 2 3" xfId="2553" xr:uid="{35B9FE72-3254-4AD0-B054-24D0BA21D530}"/>
    <cellStyle name="Normal 18 4 7 3" xfId="1165" xr:uid="{00000000-0005-0000-0000-00008D040000}"/>
    <cellStyle name="Normal 18 4 7 3 2" xfId="2555" xr:uid="{DB5BE7C1-3DEA-48EF-84AE-61C140AA8C4A}"/>
    <cellStyle name="Normal 18 4 7 4" xfId="2552" xr:uid="{6EDC6201-CCCE-43F1-9651-FDF10C01782A}"/>
    <cellStyle name="Normal 18 4 8" xfId="1166" xr:uid="{00000000-0005-0000-0000-00008E040000}"/>
    <cellStyle name="Normal 18 4 8 2" xfId="1167" xr:uid="{00000000-0005-0000-0000-00008F040000}"/>
    <cellStyle name="Normal 18 4 8 2 2" xfId="1168" xr:uid="{00000000-0005-0000-0000-000090040000}"/>
    <cellStyle name="Normal 18 4 8 2 2 2" xfId="2558" xr:uid="{B7CB6ABF-2A3B-4D13-B2F5-5C622F10BB78}"/>
    <cellStyle name="Normal 18 4 8 2 3" xfId="2557" xr:uid="{F5955FE9-1217-4DC0-8139-2E9D0D60A98F}"/>
    <cellStyle name="Normal 18 4 8 3" xfId="1169" xr:uid="{00000000-0005-0000-0000-000091040000}"/>
    <cellStyle name="Normal 18 4 8 3 2" xfId="2559" xr:uid="{0135932D-94E6-4277-BD9B-66FA752A4E51}"/>
    <cellStyle name="Normal 18 4 8 4" xfId="2556" xr:uid="{35EA8FB6-AFC4-4507-80F4-60E9FD4FB6F5}"/>
    <cellStyle name="Normal 18 4 9" xfId="1170" xr:uid="{00000000-0005-0000-0000-000092040000}"/>
    <cellStyle name="Normal 18 4 9 2" xfId="1171" xr:uid="{00000000-0005-0000-0000-000093040000}"/>
    <cellStyle name="Normal 18 4 9 2 2" xfId="2561" xr:uid="{C3871A35-54B0-4D74-AA8D-45B2B87FF4A9}"/>
    <cellStyle name="Normal 18 4 9 3" xfId="2560" xr:uid="{2F4549DB-4854-412F-81AA-6C1F7C7C8B9E}"/>
    <cellStyle name="Normal 18 5" xfId="1172" xr:uid="{00000000-0005-0000-0000-000094040000}"/>
    <cellStyle name="Normal 18 5 10" xfId="1173" xr:uid="{00000000-0005-0000-0000-000095040000}"/>
    <cellStyle name="Normal 18 5 10 2" xfId="2563" xr:uid="{84792E7C-6611-4321-9AA6-EC9848A853F7}"/>
    <cellStyle name="Normal 18 5 11" xfId="2562" xr:uid="{0E677BD1-2B5F-4267-9867-2557228D3EE3}"/>
    <cellStyle name="Normal 18 5 2" xfId="1174" xr:uid="{00000000-0005-0000-0000-000096040000}"/>
    <cellStyle name="Normal 18 5 2 2" xfId="1175" xr:uid="{00000000-0005-0000-0000-000097040000}"/>
    <cellStyle name="Normal 18 5 2 2 2" xfId="1176" xr:uid="{00000000-0005-0000-0000-000098040000}"/>
    <cellStyle name="Normal 18 5 2 2 2 2" xfId="1177" xr:uid="{00000000-0005-0000-0000-000099040000}"/>
    <cellStyle name="Normal 18 5 2 2 2 2 2" xfId="1178" xr:uid="{00000000-0005-0000-0000-00009A040000}"/>
    <cellStyle name="Normal 18 5 2 2 2 2 2 2" xfId="2568" xr:uid="{4F2B1BD1-3003-4465-8E54-7DDAE4FF6C91}"/>
    <cellStyle name="Normal 18 5 2 2 2 2 3" xfId="2567" xr:uid="{359F9B51-E392-4757-A6D9-4B679FCBC413}"/>
    <cellStyle name="Normal 18 5 2 2 2 3" xfId="1179" xr:uid="{00000000-0005-0000-0000-00009B040000}"/>
    <cellStyle name="Normal 18 5 2 2 2 3 2" xfId="2569" xr:uid="{A8B93103-959E-41CC-A00D-1CF17E9AB5DE}"/>
    <cellStyle name="Normal 18 5 2 2 2 4" xfId="2566" xr:uid="{6EFBC304-F726-4E77-90F1-CABA26673A85}"/>
    <cellStyle name="Normal 18 5 2 2 3" xfId="1180" xr:uid="{00000000-0005-0000-0000-00009C040000}"/>
    <cellStyle name="Normal 18 5 2 2 3 2" xfId="1181" xr:uid="{00000000-0005-0000-0000-00009D040000}"/>
    <cellStyle name="Normal 18 5 2 2 3 2 2" xfId="1182" xr:uid="{00000000-0005-0000-0000-00009E040000}"/>
    <cellStyle name="Normal 18 5 2 2 3 2 2 2" xfId="2572" xr:uid="{85343128-79D1-4AC9-BE26-E1DBAE116F6F}"/>
    <cellStyle name="Normal 18 5 2 2 3 2 3" xfId="2571" xr:uid="{1A744B36-91E0-45AC-9373-43F3C3C37ED9}"/>
    <cellStyle name="Normal 18 5 2 2 3 3" xfId="1183" xr:uid="{00000000-0005-0000-0000-00009F040000}"/>
    <cellStyle name="Normal 18 5 2 2 3 3 2" xfId="2573" xr:uid="{B1C084D8-E417-4AA4-A671-90BC121B1173}"/>
    <cellStyle name="Normal 18 5 2 2 3 4" xfId="2570" xr:uid="{81D4640B-00CB-49D3-9EFC-AF61E738850B}"/>
    <cellStyle name="Normal 18 5 2 2 4" xfId="1184" xr:uid="{00000000-0005-0000-0000-0000A0040000}"/>
    <cellStyle name="Normal 18 5 2 2 4 2" xfId="1185" xr:uid="{00000000-0005-0000-0000-0000A1040000}"/>
    <cellStyle name="Normal 18 5 2 2 4 2 2" xfId="2575" xr:uid="{C48AF183-19B5-4ADE-9182-1D0E0D23DF11}"/>
    <cellStyle name="Normal 18 5 2 2 4 3" xfId="2574" xr:uid="{B3C075E3-6B36-4B75-9656-0244D6B3A752}"/>
    <cellStyle name="Normal 18 5 2 2 5" xfId="1186" xr:uid="{00000000-0005-0000-0000-0000A2040000}"/>
    <cellStyle name="Normal 18 5 2 2 5 2" xfId="1187" xr:uid="{00000000-0005-0000-0000-0000A3040000}"/>
    <cellStyle name="Normal 18 5 2 2 5 2 2" xfId="2577" xr:uid="{62E5D4C1-3920-4DA7-842C-598F62268C85}"/>
    <cellStyle name="Normal 18 5 2 2 5 3" xfId="2576" xr:uid="{C5883B87-C6C0-43B5-8E8F-5E921309AEE3}"/>
    <cellStyle name="Normal 18 5 2 2 6" xfId="1188" xr:uid="{00000000-0005-0000-0000-0000A4040000}"/>
    <cellStyle name="Normal 18 5 2 2 6 2" xfId="2578" xr:uid="{B6C8A791-C79B-4EED-B13D-D93440DCC338}"/>
    <cellStyle name="Normal 18 5 2 2 7" xfId="2565" xr:uid="{CF1B13D0-4A5C-4474-8C95-94CE00BA3CDF}"/>
    <cellStyle name="Normal 18 5 2 3" xfId="1189" xr:uid="{00000000-0005-0000-0000-0000A5040000}"/>
    <cellStyle name="Normal 18 5 2 3 2" xfId="1190" xr:uid="{00000000-0005-0000-0000-0000A6040000}"/>
    <cellStyle name="Normal 18 5 2 3 2 2" xfId="1191" xr:uid="{00000000-0005-0000-0000-0000A7040000}"/>
    <cellStyle name="Normal 18 5 2 3 2 2 2" xfId="2581" xr:uid="{04AA3A5D-0CE7-4A06-82E9-5A65EECDDF6D}"/>
    <cellStyle name="Normal 18 5 2 3 2 3" xfId="2580" xr:uid="{C131A3E7-A459-4290-A446-8BD04B5846B8}"/>
    <cellStyle name="Normal 18 5 2 3 3" xfId="1192" xr:uid="{00000000-0005-0000-0000-0000A8040000}"/>
    <cellStyle name="Normal 18 5 2 3 3 2" xfId="2582" xr:uid="{016CA8C8-0EBF-4B0F-A225-B1DB803D1EF9}"/>
    <cellStyle name="Normal 18 5 2 3 4" xfId="2579" xr:uid="{5F13963C-4527-46CF-9F65-2F910BCCD6B3}"/>
    <cellStyle name="Normal 18 5 2 4" xfId="1193" xr:uid="{00000000-0005-0000-0000-0000A9040000}"/>
    <cellStyle name="Normal 18 5 2 4 2" xfId="1194" xr:uid="{00000000-0005-0000-0000-0000AA040000}"/>
    <cellStyle name="Normal 18 5 2 4 2 2" xfId="1195" xr:uid="{00000000-0005-0000-0000-0000AB040000}"/>
    <cellStyle name="Normal 18 5 2 4 2 2 2" xfId="2585" xr:uid="{39A1909E-B8DB-44B4-9CEB-F9E7C7EEC7DD}"/>
    <cellStyle name="Normal 18 5 2 4 2 3" xfId="2584" xr:uid="{F057748D-9842-46FC-913A-182B6581B9D7}"/>
    <cellStyle name="Normal 18 5 2 4 3" xfId="1196" xr:uid="{00000000-0005-0000-0000-0000AC040000}"/>
    <cellStyle name="Normal 18 5 2 4 3 2" xfId="2586" xr:uid="{9E3A0F54-D992-4B47-BAE1-46478CAF80C9}"/>
    <cellStyle name="Normal 18 5 2 4 4" xfId="2583" xr:uid="{8469EEB5-4F98-4B6A-887D-91B46F88ABE4}"/>
    <cellStyle name="Normal 18 5 2 5" xfId="1197" xr:uid="{00000000-0005-0000-0000-0000AD040000}"/>
    <cellStyle name="Normal 18 5 2 5 2" xfId="1198" xr:uid="{00000000-0005-0000-0000-0000AE040000}"/>
    <cellStyle name="Normal 18 5 2 5 2 2" xfId="2588" xr:uid="{5C0762BC-9D6A-41E4-AC03-128C641B6F24}"/>
    <cellStyle name="Normal 18 5 2 5 3" xfId="2587" xr:uid="{5B53D6B7-A692-467E-ABB8-8CF9BA812A11}"/>
    <cellStyle name="Normal 18 5 2 6" xfId="1199" xr:uid="{00000000-0005-0000-0000-0000AF040000}"/>
    <cellStyle name="Normal 18 5 2 6 2" xfId="1200" xr:uid="{00000000-0005-0000-0000-0000B0040000}"/>
    <cellStyle name="Normal 18 5 2 6 2 2" xfId="2590" xr:uid="{ACC8B166-28D4-4ECC-BC0C-69ACD623BD12}"/>
    <cellStyle name="Normal 18 5 2 6 3" xfId="2589" xr:uid="{F9A03386-D16E-40D4-9A4D-1DE905BCC7BE}"/>
    <cellStyle name="Normal 18 5 2 7" xfId="1201" xr:uid="{00000000-0005-0000-0000-0000B1040000}"/>
    <cellStyle name="Normal 18 5 2 7 2" xfId="2591" xr:uid="{3328BD44-1BC2-4025-8DF0-56665C2C71AB}"/>
    <cellStyle name="Normal 18 5 2 8" xfId="2564" xr:uid="{09CE1083-0EE1-4768-B1F0-E0E9E65E0C2C}"/>
    <cellStyle name="Normal 18 5 3" xfId="1202" xr:uid="{00000000-0005-0000-0000-0000B2040000}"/>
    <cellStyle name="Normal 18 5 3 2" xfId="1203" xr:uid="{00000000-0005-0000-0000-0000B3040000}"/>
    <cellStyle name="Normal 18 5 3 2 2" xfId="1204" xr:uid="{00000000-0005-0000-0000-0000B4040000}"/>
    <cellStyle name="Normal 18 5 3 2 2 2" xfId="1205" xr:uid="{00000000-0005-0000-0000-0000B5040000}"/>
    <cellStyle name="Normal 18 5 3 2 2 2 2" xfId="2595" xr:uid="{05F21E92-7F55-4AE7-B90B-3E4558CCA92B}"/>
    <cellStyle name="Normal 18 5 3 2 2 3" xfId="2594" xr:uid="{DF466228-7B25-452E-B97A-E76E83F7247F}"/>
    <cellStyle name="Normal 18 5 3 2 3" xfId="1206" xr:uid="{00000000-0005-0000-0000-0000B6040000}"/>
    <cellStyle name="Normal 18 5 3 2 3 2" xfId="2596" xr:uid="{15851386-9C4B-4227-98F5-16190A5AA24C}"/>
    <cellStyle name="Normal 18 5 3 2 4" xfId="2593" xr:uid="{6E9BA837-9602-403E-A01E-3D8991104BE9}"/>
    <cellStyle name="Normal 18 5 3 3" xfId="1207" xr:uid="{00000000-0005-0000-0000-0000B7040000}"/>
    <cellStyle name="Normal 18 5 3 3 2" xfId="1208" xr:uid="{00000000-0005-0000-0000-0000B8040000}"/>
    <cellStyle name="Normal 18 5 3 3 2 2" xfId="1209" xr:uid="{00000000-0005-0000-0000-0000B9040000}"/>
    <cellStyle name="Normal 18 5 3 3 2 2 2" xfId="2599" xr:uid="{7956B262-CC8D-4951-9B80-738EA898040F}"/>
    <cellStyle name="Normal 18 5 3 3 2 3" xfId="2598" xr:uid="{45A1B804-BDAC-4AB2-95A1-0C524AE81ED2}"/>
    <cellStyle name="Normal 18 5 3 3 3" xfId="1210" xr:uid="{00000000-0005-0000-0000-0000BA040000}"/>
    <cellStyle name="Normal 18 5 3 3 3 2" xfId="2600" xr:uid="{52E17B31-04D1-449B-B62F-5C0B53E506C1}"/>
    <cellStyle name="Normal 18 5 3 3 4" xfId="2597" xr:uid="{7F80F8D9-540F-469F-B241-F94B9465BAE6}"/>
    <cellStyle name="Normal 18 5 3 4" xfId="1211" xr:uid="{00000000-0005-0000-0000-0000BB040000}"/>
    <cellStyle name="Normal 18 5 3 4 2" xfId="1212" xr:uid="{00000000-0005-0000-0000-0000BC040000}"/>
    <cellStyle name="Normal 18 5 3 4 2 2" xfId="2602" xr:uid="{719E79C3-6AA1-4381-BE5B-85DB549555C9}"/>
    <cellStyle name="Normal 18 5 3 4 3" xfId="2601" xr:uid="{B10259D7-AAE3-4803-A608-3A220D29E622}"/>
    <cellStyle name="Normal 18 5 3 5" xfId="1213" xr:uid="{00000000-0005-0000-0000-0000BD040000}"/>
    <cellStyle name="Normal 18 5 3 5 2" xfId="1214" xr:uid="{00000000-0005-0000-0000-0000BE040000}"/>
    <cellStyle name="Normal 18 5 3 5 2 2" xfId="2604" xr:uid="{9811DA5C-5DE6-4485-8ACB-FDE3D4EEB4C5}"/>
    <cellStyle name="Normal 18 5 3 5 3" xfId="2603" xr:uid="{C7838761-E613-48A5-9FFD-36F9D57A4C33}"/>
    <cellStyle name="Normal 18 5 3 6" xfId="1215" xr:uid="{00000000-0005-0000-0000-0000BF040000}"/>
    <cellStyle name="Normal 18 5 3 6 2" xfId="2605" xr:uid="{E3AF8439-D6CE-4E61-9E3B-B8DD81DD2326}"/>
    <cellStyle name="Normal 18 5 3 7" xfId="2592" xr:uid="{44FF4BF2-1145-4AC4-BED2-0B74F1F6A4EF}"/>
    <cellStyle name="Normal 18 5 4" xfId="1216" xr:uid="{00000000-0005-0000-0000-0000C0040000}"/>
    <cellStyle name="Normal 18 5 4 2" xfId="1217" xr:uid="{00000000-0005-0000-0000-0000C1040000}"/>
    <cellStyle name="Normal 18 5 4 2 2" xfId="1218" xr:uid="{00000000-0005-0000-0000-0000C2040000}"/>
    <cellStyle name="Normal 18 5 4 2 2 2" xfId="1219" xr:uid="{00000000-0005-0000-0000-0000C3040000}"/>
    <cellStyle name="Normal 18 5 4 2 2 2 2" xfId="2609" xr:uid="{6B8E9FD0-4BBD-4B2C-A158-B02EF737CC19}"/>
    <cellStyle name="Normal 18 5 4 2 2 3" xfId="2608" xr:uid="{CE0D679F-BCB7-4F35-81C9-3C317745F41A}"/>
    <cellStyle name="Normal 18 5 4 2 3" xfId="1220" xr:uid="{00000000-0005-0000-0000-0000C4040000}"/>
    <cellStyle name="Normal 18 5 4 2 3 2" xfId="2610" xr:uid="{91BAA3E8-1200-4C77-B39E-CD61435C798E}"/>
    <cellStyle name="Normal 18 5 4 2 4" xfId="2607" xr:uid="{4F84C387-233B-4286-904B-8AED7D22A0B5}"/>
    <cellStyle name="Normal 18 5 4 3" xfId="1221" xr:uid="{00000000-0005-0000-0000-0000C5040000}"/>
    <cellStyle name="Normal 18 5 4 3 2" xfId="1222" xr:uid="{00000000-0005-0000-0000-0000C6040000}"/>
    <cellStyle name="Normal 18 5 4 3 2 2" xfId="2612" xr:uid="{E3BE81C1-F69C-400E-8804-E38F38374537}"/>
    <cellStyle name="Normal 18 5 4 3 3" xfId="2611" xr:uid="{A32624FD-6D97-4BB9-8699-37026433EC64}"/>
    <cellStyle name="Normal 18 5 4 4" xfId="1223" xr:uid="{00000000-0005-0000-0000-0000C7040000}"/>
    <cellStyle name="Normal 18 5 4 4 2" xfId="1224" xr:uid="{00000000-0005-0000-0000-0000C8040000}"/>
    <cellStyle name="Normal 18 5 4 4 2 2" xfId="2614" xr:uid="{B72CDA74-C482-4F48-9666-81FC770A386A}"/>
    <cellStyle name="Normal 18 5 4 4 3" xfId="2613" xr:uid="{A6C59501-0470-408D-8AFD-797936E9B8AF}"/>
    <cellStyle name="Normal 18 5 4 5" xfId="1225" xr:uid="{00000000-0005-0000-0000-0000C9040000}"/>
    <cellStyle name="Normal 18 5 4 5 2" xfId="2615" xr:uid="{50239FC5-93A6-4D13-A5C9-0BA4ED9C7F28}"/>
    <cellStyle name="Normal 18 5 4 6" xfId="2606" xr:uid="{73B6DA02-854A-41EE-8CAC-9E2455EA2BFA}"/>
    <cellStyle name="Normal 18 5 5" xfId="1226" xr:uid="{00000000-0005-0000-0000-0000CA040000}"/>
    <cellStyle name="Normal 18 5 5 2" xfId="1227" xr:uid="{00000000-0005-0000-0000-0000CB040000}"/>
    <cellStyle name="Normal 18 5 5 2 2" xfId="1228" xr:uid="{00000000-0005-0000-0000-0000CC040000}"/>
    <cellStyle name="Normal 18 5 5 2 2 2" xfId="1229" xr:uid="{00000000-0005-0000-0000-0000CD040000}"/>
    <cellStyle name="Normal 18 5 5 2 2 2 2" xfId="2619" xr:uid="{131A8BF5-D530-4326-8E9B-02BEDEDBE41D}"/>
    <cellStyle name="Normal 18 5 5 2 2 3" xfId="2618" xr:uid="{9B0FB6AC-3C84-48BC-B318-89D5BB50BF34}"/>
    <cellStyle name="Normal 18 5 5 2 3" xfId="1230" xr:uid="{00000000-0005-0000-0000-0000CE040000}"/>
    <cellStyle name="Normal 18 5 5 2 3 2" xfId="2620" xr:uid="{F0F54A7D-71F6-4D9F-8F54-C7F4BD63D8E0}"/>
    <cellStyle name="Normal 18 5 5 2 4" xfId="2617" xr:uid="{8C87C06A-534B-42E3-93CA-0A8DC1C9D57D}"/>
    <cellStyle name="Normal 18 5 5 3" xfId="1231" xr:uid="{00000000-0005-0000-0000-0000CF040000}"/>
    <cellStyle name="Normal 18 5 5 3 2" xfId="1232" xr:uid="{00000000-0005-0000-0000-0000D0040000}"/>
    <cellStyle name="Normal 18 5 5 3 2 2" xfId="2622" xr:uid="{C0DB0B5A-9813-45CE-9CFC-AD1C93FCE9CE}"/>
    <cellStyle name="Normal 18 5 5 3 3" xfId="2621" xr:uid="{44037D87-1748-4EE3-ABDA-8334D6CAF67E}"/>
    <cellStyle name="Normal 18 5 5 4" xfId="1233" xr:uid="{00000000-0005-0000-0000-0000D1040000}"/>
    <cellStyle name="Normal 18 5 5 4 2" xfId="1234" xr:uid="{00000000-0005-0000-0000-0000D2040000}"/>
    <cellStyle name="Normal 18 5 5 4 2 2" xfId="2624" xr:uid="{C09DBF6A-3AA8-4BC4-A7B6-03C411A1051E}"/>
    <cellStyle name="Normal 18 5 5 4 3" xfId="2623" xr:uid="{107D81D5-9118-4B35-8E24-53A7D8DFFFCF}"/>
    <cellStyle name="Normal 18 5 5 5" xfId="1235" xr:uid="{00000000-0005-0000-0000-0000D3040000}"/>
    <cellStyle name="Normal 18 5 5 5 2" xfId="2625" xr:uid="{E46A8D0A-C850-4266-9795-B0C48A5975CC}"/>
    <cellStyle name="Normal 18 5 5 6" xfId="2616" xr:uid="{2407A5FB-E9F6-43DD-B691-6486EF0F0B93}"/>
    <cellStyle name="Normal 18 5 6" xfId="1236" xr:uid="{00000000-0005-0000-0000-0000D4040000}"/>
    <cellStyle name="Normal 18 5 6 2" xfId="1237" xr:uid="{00000000-0005-0000-0000-0000D5040000}"/>
    <cellStyle name="Normal 18 5 6 2 2" xfId="1238" xr:uid="{00000000-0005-0000-0000-0000D6040000}"/>
    <cellStyle name="Normal 18 5 6 2 2 2" xfId="2628" xr:uid="{352B9C5B-136C-4416-9001-3FA717F9451A}"/>
    <cellStyle name="Normal 18 5 6 2 3" xfId="2627" xr:uid="{96B3331E-839B-4FA0-AAD1-65579D963691}"/>
    <cellStyle name="Normal 18 5 6 3" xfId="1239" xr:uid="{00000000-0005-0000-0000-0000D7040000}"/>
    <cellStyle name="Normal 18 5 6 3 2" xfId="2629" xr:uid="{76882885-80CF-48A7-873F-94B113D8267E}"/>
    <cellStyle name="Normal 18 5 6 4" xfId="2626" xr:uid="{FD3A9A74-FFE3-4C05-AF29-770AB8C7A193}"/>
    <cellStyle name="Normal 18 5 7" xfId="1240" xr:uid="{00000000-0005-0000-0000-0000D8040000}"/>
    <cellStyle name="Normal 18 5 7 2" xfId="1241" xr:uid="{00000000-0005-0000-0000-0000D9040000}"/>
    <cellStyle name="Normal 18 5 7 2 2" xfId="1242" xr:uid="{00000000-0005-0000-0000-0000DA040000}"/>
    <cellStyle name="Normal 18 5 7 2 2 2" xfId="2632" xr:uid="{339F1B98-2201-4AF8-95EF-59E45FB76218}"/>
    <cellStyle name="Normal 18 5 7 2 3" xfId="2631" xr:uid="{FEC7FA31-5EFE-4E02-B334-BF4AF126BF39}"/>
    <cellStyle name="Normal 18 5 7 3" xfId="1243" xr:uid="{00000000-0005-0000-0000-0000DB040000}"/>
    <cellStyle name="Normal 18 5 7 3 2" xfId="2633" xr:uid="{554B7687-E3E0-4D61-AD0A-1EF0F7212449}"/>
    <cellStyle name="Normal 18 5 7 4" xfId="2630" xr:uid="{B1F50325-DD50-40EF-BF03-6FAB5C967F7E}"/>
    <cellStyle name="Normal 18 5 8" xfId="1244" xr:uid="{00000000-0005-0000-0000-0000DC040000}"/>
    <cellStyle name="Normal 18 5 8 2" xfId="1245" xr:uid="{00000000-0005-0000-0000-0000DD040000}"/>
    <cellStyle name="Normal 18 5 8 2 2" xfId="2635" xr:uid="{ED7FE828-CF05-4876-B5CD-70D5D32080DA}"/>
    <cellStyle name="Normal 18 5 8 3" xfId="2634" xr:uid="{B3AB4832-B408-452F-B638-5991F2C9B84A}"/>
    <cellStyle name="Normal 18 5 9" xfId="1246" xr:uid="{00000000-0005-0000-0000-0000DE040000}"/>
    <cellStyle name="Normal 18 5 9 2" xfId="1247" xr:uid="{00000000-0005-0000-0000-0000DF040000}"/>
    <cellStyle name="Normal 18 5 9 2 2" xfId="2637" xr:uid="{BCB3B286-6B8A-4CB9-B914-5CFFCAC147BE}"/>
    <cellStyle name="Normal 18 5 9 3" xfId="2636" xr:uid="{A1553D1B-58B9-4F50-ACC7-9F8521D15E09}"/>
    <cellStyle name="Normal 18 6" xfId="1248" xr:uid="{00000000-0005-0000-0000-0000E0040000}"/>
    <cellStyle name="Normal 18 6 2" xfId="1249" xr:uid="{00000000-0005-0000-0000-0000E1040000}"/>
    <cellStyle name="Normal 18 6 2 2" xfId="1250" xr:uid="{00000000-0005-0000-0000-0000E2040000}"/>
    <cellStyle name="Normal 18 6 2 2 2" xfId="1251" xr:uid="{00000000-0005-0000-0000-0000E3040000}"/>
    <cellStyle name="Normal 18 6 2 2 2 2" xfId="1252" xr:uid="{00000000-0005-0000-0000-0000E4040000}"/>
    <cellStyle name="Normal 18 6 2 2 2 2 2" xfId="1253" xr:uid="{00000000-0005-0000-0000-0000E5040000}"/>
    <cellStyle name="Normal 18 6 2 2 2 2 2 2" xfId="2643" xr:uid="{A2F67479-A67F-4018-A5FA-900AE6C79229}"/>
    <cellStyle name="Normal 18 6 2 2 2 2 3" xfId="2642" xr:uid="{E15F883D-834C-418C-BB3F-4C1DC66DE844}"/>
    <cellStyle name="Normal 18 6 2 2 2 3" xfId="1254" xr:uid="{00000000-0005-0000-0000-0000E6040000}"/>
    <cellStyle name="Normal 18 6 2 2 2 3 2" xfId="2644" xr:uid="{3FC36900-6CF9-4561-92B9-C8B96151643E}"/>
    <cellStyle name="Normal 18 6 2 2 2 4" xfId="2641" xr:uid="{54C54342-8BC3-4B60-9C39-4A2EC92F2CD1}"/>
    <cellStyle name="Normal 18 6 2 2 3" xfId="1255" xr:uid="{00000000-0005-0000-0000-0000E7040000}"/>
    <cellStyle name="Normal 18 6 2 2 3 2" xfId="1256" xr:uid="{00000000-0005-0000-0000-0000E8040000}"/>
    <cellStyle name="Normal 18 6 2 2 3 2 2" xfId="1257" xr:uid="{00000000-0005-0000-0000-0000E9040000}"/>
    <cellStyle name="Normal 18 6 2 2 3 2 2 2" xfId="2647" xr:uid="{555F938C-83F2-430E-872E-7613943D65CC}"/>
    <cellStyle name="Normal 18 6 2 2 3 2 3" xfId="2646" xr:uid="{70DBA477-0FF7-4CA3-81F0-00CE2C6F6E2E}"/>
    <cellStyle name="Normal 18 6 2 2 3 3" xfId="1258" xr:uid="{00000000-0005-0000-0000-0000EA040000}"/>
    <cellStyle name="Normal 18 6 2 2 3 3 2" xfId="2648" xr:uid="{8736F2D3-82B8-4A7D-B7D3-1390751753AA}"/>
    <cellStyle name="Normal 18 6 2 2 3 4" xfId="2645" xr:uid="{04B61CB9-83CB-4068-8491-95A24F12785A}"/>
    <cellStyle name="Normal 18 6 2 2 4" xfId="1259" xr:uid="{00000000-0005-0000-0000-0000EB040000}"/>
    <cellStyle name="Normal 18 6 2 2 4 2" xfId="1260" xr:uid="{00000000-0005-0000-0000-0000EC040000}"/>
    <cellStyle name="Normal 18 6 2 2 4 2 2" xfId="2650" xr:uid="{02307F5B-40C7-4A96-926D-999E0ABCE52F}"/>
    <cellStyle name="Normal 18 6 2 2 4 3" xfId="2649" xr:uid="{D0C3CAD1-7EE6-4440-BD91-12F9E45DC67B}"/>
    <cellStyle name="Normal 18 6 2 2 5" xfId="1261" xr:uid="{00000000-0005-0000-0000-0000ED040000}"/>
    <cellStyle name="Normal 18 6 2 2 5 2" xfId="1262" xr:uid="{00000000-0005-0000-0000-0000EE040000}"/>
    <cellStyle name="Normal 18 6 2 2 5 2 2" xfId="2652" xr:uid="{6D951326-9D35-428A-9C9D-365E250B2001}"/>
    <cellStyle name="Normal 18 6 2 2 5 3" xfId="2651" xr:uid="{F065D40D-093D-4F15-9796-A2032D13956D}"/>
    <cellStyle name="Normal 18 6 2 2 6" xfId="1263" xr:uid="{00000000-0005-0000-0000-0000EF040000}"/>
    <cellStyle name="Normal 18 6 2 2 6 2" xfId="2653" xr:uid="{0CFCD058-B31F-4105-88D6-CFB1DF865FD7}"/>
    <cellStyle name="Normal 18 6 2 2 7" xfId="2640" xr:uid="{1F06297C-4873-4404-861E-5DFA433CAD45}"/>
    <cellStyle name="Normal 18 6 2 3" xfId="1264" xr:uid="{00000000-0005-0000-0000-0000F0040000}"/>
    <cellStyle name="Normal 18 6 2 3 2" xfId="1265" xr:uid="{00000000-0005-0000-0000-0000F1040000}"/>
    <cellStyle name="Normal 18 6 2 3 2 2" xfId="1266" xr:uid="{00000000-0005-0000-0000-0000F2040000}"/>
    <cellStyle name="Normal 18 6 2 3 2 2 2" xfId="2656" xr:uid="{46F651F6-8CAD-4E0F-92E6-1319B622256C}"/>
    <cellStyle name="Normal 18 6 2 3 2 3" xfId="2655" xr:uid="{771C23A3-844E-4FAE-A451-0E73C2DAF2AF}"/>
    <cellStyle name="Normal 18 6 2 3 3" xfId="1267" xr:uid="{00000000-0005-0000-0000-0000F3040000}"/>
    <cellStyle name="Normal 18 6 2 3 3 2" xfId="2657" xr:uid="{14E2E148-DA79-4039-9476-D4747B06C031}"/>
    <cellStyle name="Normal 18 6 2 3 4" xfId="2654" xr:uid="{01EC5498-7631-4779-8BB0-380AA6299940}"/>
    <cellStyle name="Normal 18 6 2 4" xfId="1268" xr:uid="{00000000-0005-0000-0000-0000F4040000}"/>
    <cellStyle name="Normal 18 6 2 4 2" xfId="1269" xr:uid="{00000000-0005-0000-0000-0000F5040000}"/>
    <cellStyle name="Normal 18 6 2 4 2 2" xfId="1270" xr:uid="{00000000-0005-0000-0000-0000F6040000}"/>
    <cellStyle name="Normal 18 6 2 4 2 2 2" xfId="2660" xr:uid="{A7392CA7-BD13-4C95-91BF-598004E34554}"/>
    <cellStyle name="Normal 18 6 2 4 2 3" xfId="2659" xr:uid="{C91A33CA-1D01-4F00-A756-D4D7316B85AC}"/>
    <cellStyle name="Normal 18 6 2 4 3" xfId="1271" xr:uid="{00000000-0005-0000-0000-0000F7040000}"/>
    <cellStyle name="Normal 18 6 2 4 3 2" xfId="2661" xr:uid="{B73240E0-F017-4AA9-97EE-703A1F65DE77}"/>
    <cellStyle name="Normal 18 6 2 4 4" xfId="2658" xr:uid="{34AF8B8E-3311-4C8A-93FB-708B07D50E69}"/>
    <cellStyle name="Normal 18 6 2 5" xfId="1272" xr:uid="{00000000-0005-0000-0000-0000F8040000}"/>
    <cellStyle name="Normal 18 6 2 5 2" xfId="1273" xr:uid="{00000000-0005-0000-0000-0000F9040000}"/>
    <cellStyle name="Normal 18 6 2 5 2 2" xfId="2663" xr:uid="{0D4E1A67-7328-4B4C-9E78-E9CC01BAD7C7}"/>
    <cellStyle name="Normal 18 6 2 5 3" xfId="2662" xr:uid="{5C56A491-ACB4-45C4-ACAD-67EA88A47E50}"/>
    <cellStyle name="Normal 18 6 2 6" xfId="1274" xr:uid="{00000000-0005-0000-0000-0000FA040000}"/>
    <cellStyle name="Normal 18 6 2 6 2" xfId="1275" xr:uid="{00000000-0005-0000-0000-0000FB040000}"/>
    <cellStyle name="Normal 18 6 2 6 2 2" xfId="2665" xr:uid="{794D1089-BA3C-4F75-9FD3-F1457DC5A1A5}"/>
    <cellStyle name="Normal 18 6 2 6 3" xfId="2664" xr:uid="{2A8F5535-A1D5-49DC-814F-F1C14CD0A827}"/>
    <cellStyle name="Normal 18 6 2 7" xfId="1276" xr:uid="{00000000-0005-0000-0000-0000FC040000}"/>
    <cellStyle name="Normal 18 6 2 7 2" xfId="2666" xr:uid="{D428A58F-8F19-4A0E-86F9-0986441D6766}"/>
    <cellStyle name="Normal 18 6 2 8" xfId="2639" xr:uid="{FC768FCF-D2CA-4F73-A193-438FE27209DA}"/>
    <cellStyle name="Normal 18 6 3" xfId="1277" xr:uid="{00000000-0005-0000-0000-0000FD040000}"/>
    <cellStyle name="Normal 18 6 3 2" xfId="1278" xr:uid="{00000000-0005-0000-0000-0000FE040000}"/>
    <cellStyle name="Normal 18 6 3 2 2" xfId="1279" xr:uid="{00000000-0005-0000-0000-0000FF040000}"/>
    <cellStyle name="Normal 18 6 3 2 2 2" xfId="1280" xr:uid="{00000000-0005-0000-0000-000000050000}"/>
    <cellStyle name="Normal 18 6 3 2 2 2 2" xfId="2670" xr:uid="{D75F1655-6CB4-43AA-A70F-8CF4EE521D38}"/>
    <cellStyle name="Normal 18 6 3 2 2 3" xfId="2669" xr:uid="{675222D6-FCA2-41ED-B2AB-3AC9771FF97A}"/>
    <cellStyle name="Normal 18 6 3 2 3" xfId="1281" xr:uid="{00000000-0005-0000-0000-000001050000}"/>
    <cellStyle name="Normal 18 6 3 2 3 2" xfId="2671" xr:uid="{E93F3B14-D37A-489B-9408-210BEFAFDACB}"/>
    <cellStyle name="Normal 18 6 3 2 4" xfId="2668" xr:uid="{BC5DB5BD-19FA-47EA-AA6B-9A3D0B292B02}"/>
    <cellStyle name="Normal 18 6 3 3" xfId="1282" xr:uid="{00000000-0005-0000-0000-000002050000}"/>
    <cellStyle name="Normal 18 6 3 3 2" xfId="1283" xr:uid="{00000000-0005-0000-0000-000003050000}"/>
    <cellStyle name="Normal 18 6 3 3 2 2" xfId="1284" xr:uid="{00000000-0005-0000-0000-000004050000}"/>
    <cellStyle name="Normal 18 6 3 3 2 2 2" xfId="2674" xr:uid="{40813DC2-9C46-4760-9655-3832BC4852CD}"/>
    <cellStyle name="Normal 18 6 3 3 2 3" xfId="2673" xr:uid="{1E8EBAC9-6B53-4165-B30D-8D3268BF92DB}"/>
    <cellStyle name="Normal 18 6 3 3 3" xfId="1285" xr:uid="{00000000-0005-0000-0000-000005050000}"/>
    <cellStyle name="Normal 18 6 3 3 3 2" xfId="2675" xr:uid="{587E5208-E2B4-4CC9-A806-389681E65BC4}"/>
    <cellStyle name="Normal 18 6 3 3 4" xfId="2672" xr:uid="{57AFC8C8-02BA-4C1A-9675-D39333E6DBA2}"/>
    <cellStyle name="Normal 18 6 3 4" xfId="1286" xr:uid="{00000000-0005-0000-0000-000006050000}"/>
    <cellStyle name="Normal 18 6 3 4 2" xfId="1287" xr:uid="{00000000-0005-0000-0000-000007050000}"/>
    <cellStyle name="Normal 18 6 3 4 2 2" xfId="2677" xr:uid="{17B6B8C4-1C5A-44C5-9386-22CABF703EB3}"/>
    <cellStyle name="Normal 18 6 3 4 3" xfId="2676" xr:uid="{D29654C7-0DA8-4168-9663-BDF7D55B763D}"/>
    <cellStyle name="Normal 18 6 3 5" xfId="1288" xr:uid="{00000000-0005-0000-0000-000008050000}"/>
    <cellStyle name="Normal 18 6 3 5 2" xfId="1289" xr:uid="{00000000-0005-0000-0000-000009050000}"/>
    <cellStyle name="Normal 18 6 3 5 2 2" xfId="2679" xr:uid="{C8E44A44-280E-4026-92B2-2B4D0B1A49D0}"/>
    <cellStyle name="Normal 18 6 3 5 3" xfId="2678" xr:uid="{D9087C41-DE95-4365-B2FE-6259F9B5B9ED}"/>
    <cellStyle name="Normal 18 6 3 6" xfId="1290" xr:uid="{00000000-0005-0000-0000-00000A050000}"/>
    <cellStyle name="Normal 18 6 3 6 2" xfId="2680" xr:uid="{1D3C724C-0D9E-422B-803A-168A8713CAB9}"/>
    <cellStyle name="Normal 18 6 3 7" xfId="2667" xr:uid="{CFD14731-144D-4541-AB9B-1A56B916A59F}"/>
    <cellStyle name="Normal 18 6 4" xfId="1291" xr:uid="{00000000-0005-0000-0000-00000B050000}"/>
    <cellStyle name="Normal 18 6 4 2" xfId="1292" xr:uid="{00000000-0005-0000-0000-00000C050000}"/>
    <cellStyle name="Normal 18 6 4 2 2" xfId="1293" xr:uid="{00000000-0005-0000-0000-00000D050000}"/>
    <cellStyle name="Normal 18 6 4 2 2 2" xfId="2683" xr:uid="{B7017800-6074-415E-80DD-63CE257B86C9}"/>
    <cellStyle name="Normal 18 6 4 2 3" xfId="2682" xr:uid="{221E9E93-9EFF-4D5E-9800-03DCEB022EA6}"/>
    <cellStyle name="Normal 18 6 4 3" xfId="1294" xr:uid="{00000000-0005-0000-0000-00000E050000}"/>
    <cellStyle name="Normal 18 6 4 3 2" xfId="2684" xr:uid="{821CDB14-C7EF-43D7-99CD-ECE6148231C1}"/>
    <cellStyle name="Normal 18 6 4 4" xfId="2681" xr:uid="{C81C08D4-7DB4-4A25-98D4-0E2C694F5DAC}"/>
    <cellStyle name="Normal 18 6 5" xfId="1295" xr:uid="{00000000-0005-0000-0000-00000F050000}"/>
    <cellStyle name="Normal 18 6 5 2" xfId="1296" xr:uid="{00000000-0005-0000-0000-000010050000}"/>
    <cellStyle name="Normal 18 6 5 2 2" xfId="1297" xr:uid="{00000000-0005-0000-0000-000011050000}"/>
    <cellStyle name="Normal 18 6 5 2 2 2" xfId="2687" xr:uid="{4A13A4B6-D98A-4EA9-837D-E9CF27DBF6CC}"/>
    <cellStyle name="Normal 18 6 5 2 3" xfId="2686" xr:uid="{3C9D0945-0C9E-4D29-B63A-EA661CD3CDCA}"/>
    <cellStyle name="Normal 18 6 5 3" xfId="1298" xr:uid="{00000000-0005-0000-0000-000012050000}"/>
    <cellStyle name="Normal 18 6 5 3 2" xfId="2688" xr:uid="{3E769ED1-E5E4-4042-B778-C08B3E48FCB4}"/>
    <cellStyle name="Normal 18 6 5 4" xfId="2685" xr:uid="{34E75E94-E3C8-462A-A2C5-6F2CC4EEF5BF}"/>
    <cellStyle name="Normal 18 6 6" xfId="1299" xr:uid="{00000000-0005-0000-0000-000013050000}"/>
    <cellStyle name="Normal 18 6 6 2" xfId="1300" xr:uid="{00000000-0005-0000-0000-000014050000}"/>
    <cellStyle name="Normal 18 6 6 2 2" xfId="2690" xr:uid="{C1EDD03D-5BD4-4478-A47B-90C58E9F22C0}"/>
    <cellStyle name="Normal 18 6 6 3" xfId="2689" xr:uid="{B218F788-DD1D-4D9B-888B-4E601A5657EC}"/>
    <cellStyle name="Normal 18 6 7" xfId="1301" xr:uid="{00000000-0005-0000-0000-000015050000}"/>
    <cellStyle name="Normal 18 6 7 2" xfId="1302" xr:uid="{00000000-0005-0000-0000-000016050000}"/>
    <cellStyle name="Normal 18 6 7 2 2" xfId="2692" xr:uid="{9BECAB09-E306-40FE-9ED2-874173676517}"/>
    <cellStyle name="Normal 18 6 7 3" xfId="2691" xr:uid="{2F465545-F82B-4E9A-8B2A-8C8769EF9F8F}"/>
    <cellStyle name="Normal 18 6 8" xfId="1303" xr:uid="{00000000-0005-0000-0000-000017050000}"/>
    <cellStyle name="Normal 18 6 8 2" xfId="2693" xr:uid="{41F2AB82-034F-4201-A9EF-E4A278E63F1B}"/>
    <cellStyle name="Normal 18 6 9" xfId="2638" xr:uid="{894562F8-333F-4717-B46C-5AB4D3705777}"/>
    <cellStyle name="Normal 18 7" xfId="1304" xr:uid="{00000000-0005-0000-0000-000018050000}"/>
    <cellStyle name="Normal 18 7 2" xfId="1305" xr:uid="{00000000-0005-0000-0000-000019050000}"/>
    <cellStyle name="Normal 18 7 2 2" xfId="1306" xr:uid="{00000000-0005-0000-0000-00001A050000}"/>
    <cellStyle name="Normal 18 7 2 2 2" xfId="1307" xr:uid="{00000000-0005-0000-0000-00001B050000}"/>
    <cellStyle name="Normal 18 7 2 2 2 2" xfId="1308" xr:uid="{00000000-0005-0000-0000-00001C050000}"/>
    <cellStyle name="Normal 18 7 2 2 2 2 2" xfId="2698" xr:uid="{A4692803-E948-49C2-BDDC-4762A935716E}"/>
    <cellStyle name="Normal 18 7 2 2 2 3" xfId="2697" xr:uid="{1613DF28-909F-41A5-A11B-FC34C8877F6E}"/>
    <cellStyle name="Normal 18 7 2 2 3" xfId="1309" xr:uid="{00000000-0005-0000-0000-00001D050000}"/>
    <cellStyle name="Normal 18 7 2 2 3 2" xfId="2699" xr:uid="{33E2A7B7-D413-40AC-B719-6175FD680449}"/>
    <cellStyle name="Normal 18 7 2 2 4" xfId="2696" xr:uid="{0604229A-5F10-48ED-B4DD-1692EAA8705E}"/>
    <cellStyle name="Normal 18 7 2 3" xfId="1310" xr:uid="{00000000-0005-0000-0000-00001E050000}"/>
    <cellStyle name="Normal 18 7 2 3 2" xfId="1311" xr:uid="{00000000-0005-0000-0000-00001F050000}"/>
    <cellStyle name="Normal 18 7 2 3 2 2" xfId="1312" xr:uid="{00000000-0005-0000-0000-000020050000}"/>
    <cellStyle name="Normal 18 7 2 3 2 2 2" xfId="2702" xr:uid="{E0602A4A-77A3-4CEC-8CDA-6184D863C755}"/>
    <cellStyle name="Normal 18 7 2 3 2 3" xfId="2701" xr:uid="{693D7C78-55F3-44A6-85CE-FD0ABC2AE1CE}"/>
    <cellStyle name="Normal 18 7 2 3 3" xfId="1313" xr:uid="{00000000-0005-0000-0000-000021050000}"/>
    <cellStyle name="Normal 18 7 2 3 3 2" xfId="2703" xr:uid="{3757BB77-8B68-470F-A7C5-C4CFFBE40115}"/>
    <cellStyle name="Normal 18 7 2 3 4" xfId="2700" xr:uid="{83A16FD5-FB46-4BED-913D-DD07B5CAF510}"/>
    <cellStyle name="Normal 18 7 2 4" xfId="1314" xr:uid="{00000000-0005-0000-0000-000022050000}"/>
    <cellStyle name="Normal 18 7 2 4 2" xfId="1315" xr:uid="{00000000-0005-0000-0000-000023050000}"/>
    <cellStyle name="Normal 18 7 2 4 2 2" xfId="2705" xr:uid="{1C3BA2B1-46E4-49A1-BC7F-8AAD7E6ED782}"/>
    <cellStyle name="Normal 18 7 2 4 3" xfId="2704" xr:uid="{F62641FA-4AE8-4583-AD3A-67AFF3C7B4D5}"/>
    <cellStyle name="Normal 18 7 2 5" xfId="1316" xr:uid="{00000000-0005-0000-0000-000024050000}"/>
    <cellStyle name="Normal 18 7 2 5 2" xfId="1317" xr:uid="{00000000-0005-0000-0000-000025050000}"/>
    <cellStyle name="Normal 18 7 2 5 2 2" xfId="2707" xr:uid="{579A6FA7-CF46-44BC-AFD8-DECC6A3F9EC4}"/>
    <cellStyle name="Normal 18 7 2 5 3" xfId="2706" xr:uid="{06FB5F69-7A82-49E3-A699-4A89E7B36FAA}"/>
    <cellStyle name="Normal 18 7 2 6" xfId="1318" xr:uid="{00000000-0005-0000-0000-000026050000}"/>
    <cellStyle name="Normal 18 7 2 6 2" xfId="2708" xr:uid="{1730481A-AAED-4C38-BF06-BD3FEEB18416}"/>
    <cellStyle name="Normal 18 7 2 7" xfId="2695" xr:uid="{C35F2DDB-7C49-449B-A74D-A25D4AD1F586}"/>
    <cellStyle name="Normal 18 7 3" xfId="1319" xr:uid="{00000000-0005-0000-0000-000027050000}"/>
    <cellStyle name="Normal 18 7 3 2" xfId="1320" xr:uid="{00000000-0005-0000-0000-000028050000}"/>
    <cellStyle name="Normal 18 7 3 2 2" xfId="1321" xr:uid="{00000000-0005-0000-0000-000029050000}"/>
    <cellStyle name="Normal 18 7 3 2 2 2" xfId="2711" xr:uid="{9F5FC2D7-CDB6-4460-B229-6026F8E5E234}"/>
    <cellStyle name="Normal 18 7 3 2 3" xfId="2710" xr:uid="{3366DFF8-1347-45E3-A189-AF3E34689B2F}"/>
    <cellStyle name="Normal 18 7 3 3" xfId="1322" xr:uid="{00000000-0005-0000-0000-00002A050000}"/>
    <cellStyle name="Normal 18 7 3 3 2" xfId="2712" xr:uid="{4473602B-1525-4769-8491-B5DBB85EBC02}"/>
    <cellStyle name="Normal 18 7 3 4" xfId="2709" xr:uid="{FA72EF33-56C9-4E25-8473-AA7425FCAD86}"/>
    <cellStyle name="Normal 18 7 4" xfId="1323" xr:uid="{00000000-0005-0000-0000-00002B050000}"/>
    <cellStyle name="Normal 18 7 4 2" xfId="1324" xr:uid="{00000000-0005-0000-0000-00002C050000}"/>
    <cellStyle name="Normal 18 7 4 2 2" xfId="1325" xr:uid="{00000000-0005-0000-0000-00002D050000}"/>
    <cellStyle name="Normal 18 7 4 2 2 2" xfId="2715" xr:uid="{96F0B95D-46C8-4E75-8CB7-C7942E0895EB}"/>
    <cellStyle name="Normal 18 7 4 2 3" xfId="2714" xr:uid="{CC2F4361-5976-4CDE-A19C-A1BEA87053CF}"/>
    <cellStyle name="Normal 18 7 4 3" xfId="1326" xr:uid="{00000000-0005-0000-0000-00002E050000}"/>
    <cellStyle name="Normal 18 7 4 3 2" xfId="2716" xr:uid="{353C8D99-528B-47CD-9744-A055B1EC19F4}"/>
    <cellStyle name="Normal 18 7 4 4" xfId="2713" xr:uid="{6422AAEA-0E5E-437F-A354-090AAB524B86}"/>
    <cellStyle name="Normal 18 7 5" xfId="1327" xr:uid="{00000000-0005-0000-0000-00002F050000}"/>
    <cellStyle name="Normal 18 7 5 2" xfId="1328" xr:uid="{00000000-0005-0000-0000-000030050000}"/>
    <cellStyle name="Normal 18 7 5 2 2" xfId="2718" xr:uid="{10D3C76B-FCF0-46D3-B30C-7AC042633043}"/>
    <cellStyle name="Normal 18 7 5 3" xfId="2717" xr:uid="{9FD5E7EC-FFAE-4D10-A0FD-FA0376D469BD}"/>
    <cellStyle name="Normal 18 7 6" xfId="1329" xr:uid="{00000000-0005-0000-0000-000031050000}"/>
    <cellStyle name="Normal 18 7 6 2" xfId="1330" xr:uid="{00000000-0005-0000-0000-000032050000}"/>
    <cellStyle name="Normal 18 7 6 2 2" xfId="2720" xr:uid="{0E485823-4BB9-4A2E-93B5-CCD6F2A7F227}"/>
    <cellStyle name="Normal 18 7 6 3" xfId="2719" xr:uid="{EB0DE8FB-D90F-41FA-B7A7-BCC095FDD03E}"/>
    <cellStyle name="Normal 18 7 7" xfId="1331" xr:uid="{00000000-0005-0000-0000-000033050000}"/>
    <cellStyle name="Normal 18 7 7 2" xfId="2721" xr:uid="{3D23CE12-3D05-416E-B6D5-721ACA405289}"/>
    <cellStyle name="Normal 18 7 8" xfId="2694" xr:uid="{CEAD8BCD-96F7-436E-9888-ED5E9E0B59A3}"/>
    <cellStyle name="Normal 18 8" xfId="1332" xr:uid="{00000000-0005-0000-0000-000034050000}"/>
    <cellStyle name="Normal 18 8 2" xfId="1333" xr:uid="{00000000-0005-0000-0000-000035050000}"/>
    <cellStyle name="Normal 18 8 2 2" xfId="1334" xr:uid="{00000000-0005-0000-0000-000036050000}"/>
    <cellStyle name="Normal 18 8 2 2 2" xfId="1335" xr:uid="{00000000-0005-0000-0000-000037050000}"/>
    <cellStyle name="Normal 18 8 2 2 2 2" xfId="1336" xr:uid="{00000000-0005-0000-0000-000038050000}"/>
    <cellStyle name="Normal 18 8 2 2 2 2 2" xfId="2726" xr:uid="{CD23F00B-1CA9-4763-965F-28A1C6778008}"/>
    <cellStyle name="Normal 18 8 2 2 2 3" xfId="2725" xr:uid="{773B43EB-20EE-4450-84AB-3BDB183CA586}"/>
    <cellStyle name="Normal 18 8 2 2 3" xfId="1337" xr:uid="{00000000-0005-0000-0000-000039050000}"/>
    <cellStyle name="Normal 18 8 2 2 3 2" xfId="2727" xr:uid="{4A0285F6-9749-410E-B2C7-D7476935A88C}"/>
    <cellStyle name="Normal 18 8 2 2 4" xfId="2724" xr:uid="{AEE9FF0D-579B-428F-9E7C-D77F1B45C61F}"/>
    <cellStyle name="Normal 18 8 2 3" xfId="1338" xr:uid="{00000000-0005-0000-0000-00003A050000}"/>
    <cellStyle name="Normal 18 8 2 3 2" xfId="1339" xr:uid="{00000000-0005-0000-0000-00003B050000}"/>
    <cellStyle name="Normal 18 8 2 3 2 2" xfId="1340" xr:uid="{00000000-0005-0000-0000-00003C050000}"/>
    <cellStyle name="Normal 18 8 2 3 2 2 2" xfId="2730" xr:uid="{6E3D8258-C77F-46D4-8023-835322627643}"/>
    <cellStyle name="Normal 18 8 2 3 2 3" xfId="2729" xr:uid="{69191E05-DB19-4BE2-B211-9D44D860B63C}"/>
    <cellStyle name="Normal 18 8 2 3 3" xfId="1341" xr:uid="{00000000-0005-0000-0000-00003D050000}"/>
    <cellStyle name="Normal 18 8 2 3 3 2" xfId="2731" xr:uid="{3817D63F-A26D-441B-A5E1-213E8FDC04FE}"/>
    <cellStyle name="Normal 18 8 2 3 4" xfId="2728" xr:uid="{478831AD-1E4A-4293-A9FF-AB230748069F}"/>
    <cellStyle name="Normal 18 8 2 4" xfId="1342" xr:uid="{00000000-0005-0000-0000-00003E050000}"/>
    <cellStyle name="Normal 18 8 2 4 2" xfId="1343" xr:uid="{00000000-0005-0000-0000-00003F050000}"/>
    <cellStyle name="Normal 18 8 2 4 2 2" xfId="2733" xr:uid="{663DB21A-8E51-4138-A6B3-F0804834F983}"/>
    <cellStyle name="Normal 18 8 2 4 3" xfId="2732" xr:uid="{A572C71D-185A-4248-AC45-9BFB2AD0DDB1}"/>
    <cellStyle name="Normal 18 8 2 5" xfId="1344" xr:uid="{00000000-0005-0000-0000-000040050000}"/>
    <cellStyle name="Normal 18 8 2 5 2" xfId="1345" xr:uid="{00000000-0005-0000-0000-000041050000}"/>
    <cellStyle name="Normal 18 8 2 5 2 2" xfId="2735" xr:uid="{017F6C1E-B592-4E07-8BE2-2CC0F7F85889}"/>
    <cellStyle name="Normal 18 8 2 5 3" xfId="2734" xr:uid="{F4CC237C-617F-4C28-BD17-9557BB2B704B}"/>
    <cellStyle name="Normal 18 8 2 6" xfId="1346" xr:uid="{00000000-0005-0000-0000-000042050000}"/>
    <cellStyle name="Normal 18 8 2 6 2" xfId="2736" xr:uid="{43D92154-7FF6-47F2-ABA4-BDFA4B88ED8C}"/>
    <cellStyle name="Normal 18 8 2 7" xfId="2723" xr:uid="{EE432511-C720-40E0-89C8-8B9E11C5DFDE}"/>
    <cellStyle name="Normal 18 8 3" xfId="1347" xr:uid="{00000000-0005-0000-0000-000043050000}"/>
    <cellStyle name="Normal 18 8 3 2" xfId="1348" xr:uid="{00000000-0005-0000-0000-000044050000}"/>
    <cellStyle name="Normal 18 8 3 2 2" xfId="1349" xr:uid="{00000000-0005-0000-0000-000045050000}"/>
    <cellStyle name="Normal 18 8 3 2 2 2" xfId="2739" xr:uid="{FEB37C2A-FA25-474F-BBCE-1B5AA1BEA386}"/>
    <cellStyle name="Normal 18 8 3 2 3" xfId="2738" xr:uid="{92FB1B0E-6529-46D4-A64F-9C4B90F8E7B1}"/>
    <cellStyle name="Normal 18 8 3 3" xfId="1350" xr:uid="{00000000-0005-0000-0000-000046050000}"/>
    <cellStyle name="Normal 18 8 3 3 2" xfId="2740" xr:uid="{53DA1F1E-63C0-4259-8F36-6717BFC311FA}"/>
    <cellStyle name="Normal 18 8 3 4" xfId="2737" xr:uid="{135CF0D5-1014-490B-8205-9FB322F8D5B9}"/>
    <cellStyle name="Normal 18 8 4" xfId="1351" xr:uid="{00000000-0005-0000-0000-000047050000}"/>
    <cellStyle name="Normal 18 8 4 2" xfId="1352" xr:uid="{00000000-0005-0000-0000-000048050000}"/>
    <cellStyle name="Normal 18 8 4 2 2" xfId="1353" xr:uid="{00000000-0005-0000-0000-000049050000}"/>
    <cellStyle name="Normal 18 8 4 2 2 2" xfId="2743" xr:uid="{F0047884-55A7-457B-B863-252D83B71177}"/>
    <cellStyle name="Normal 18 8 4 2 3" xfId="2742" xr:uid="{7BDC995B-89B6-4181-BA87-5A4F6528B183}"/>
    <cellStyle name="Normal 18 8 4 3" xfId="1354" xr:uid="{00000000-0005-0000-0000-00004A050000}"/>
    <cellStyle name="Normal 18 8 4 3 2" xfId="2744" xr:uid="{CEBBFB1C-02DA-45F6-B22F-799D440E8A85}"/>
    <cellStyle name="Normal 18 8 4 4" xfId="2741" xr:uid="{1A9FF3B8-FACD-4FC1-931E-B99BB72B43E2}"/>
    <cellStyle name="Normal 18 8 5" xfId="1355" xr:uid="{00000000-0005-0000-0000-00004B050000}"/>
    <cellStyle name="Normal 18 8 5 2" xfId="1356" xr:uid="{00000000-0005-0000-0000-00004C050000}"/>
    <cellStyle name="Normal 18 8 5 2 2" xfId="2746" xr:uid="{966698F2-2A4A-4E86-88FD-DBC6EA141976}"/>
    <cellStyle name="Normal 18 8 5 3" xfId="2745" xr:uid="{80D846F2-3ECE-43B5-8872-659B2985EA7C}"/>
    <cellStyle name="Normal 18 8 6" xfId="1357" xr:uid="{00000000-0005-0000-0000-00004D050000}"/>
    <cellStyle name="Normal 18 8 6 2" xfId="1358" xr:uid="{00000000-0005-0000-0000-00004E050000}"/>
    <cellStyle name="Normal 18 8 6 2 2" xfId="2748" xr:uid="{675320EE-1341-41B4-B6E6-A203D2580786}"/>
    <cellStyle name="Normal 18 8 6 3" xfId="2747" xr:uid="{3D2E12CA-2B6D-49A8-BF81-4A1248AFA541}"/>
    <cellStyle name="Normal 18 8 7" xfId="1359" xr:uid="{00000000-0005-0000-0000-00004F050000}"/>
    <cellStyle name="Normal 18 8 7 2" xfId="2749" xr:uid="{EAB73C36-9849-47FA-BA36-9E5A38018157}"/>
    <cellStyle name="Normal 18 8 8" xfId="2722" xr:uid="{88757AB5-FB07-4A77-80DB-02846F6FDEE5}"/>
    <cellStyle name="Normal 18 9" xfId="1360" xr:uid="{00000000-0005-0000-0000-000050050000}"/>
    <cellStyle name="Normal 18 9 2" xfId="1361" xr:uid="{00000000-0005-0000-0000-000051050000}"/>
    <cellStyle name="Normal 18 9 2 2" xfId="1362" xr:uid="{00000000-0005-0000-0000-000052050000}"/>
    <cellStyle name="Normal 18 9 2 2 2" xfId="1363" xr:uid="{00000000-0005-0000-0000-000053050000}"/>
    <cellStyle name="Normal 18 9 2 2 2 2" xfId="2753" xr:uid="{50B02011-6C27-479E-B700-015087A68195}"/>
    <cellStyle name="Normal 18 9 2 2 3" xfId="2752" xr:uid="{510B0347-8351-4D98-B3BA-37715FD25BB9}"/>
    <cellStyle name="Normal 18 9 2 3" xfId="1364" xr:uid="{00000000-0005-0000-0000-000054050000}"/>
    <cellStyle name="Normal 18 9 2 3 2" xfId="2754" xr:uid="{26252015-D792-4DD8-B7DC-83813627132D}"/>
    <cellStyle name="Normal 18 9 2 4" xfId="2751" xr:uid="{9A4D0A50-34EB-4A63-A258-A62966E58B1F}"/>
    <cellStyle name="Normal 18 9 3" xfId="1365" xr:uid="{00000000-0005-0000-0000-000055050000}"/>
    <cellStyle name="Normal 18 9 3 2" xfId="1366" xr:uid="{00000000-0005-0000-0000-000056050000}"/>
    <cellStyle name="Normal 18 9 3 2 2" xfId="1367" xr:uid="{00000000-0005-0000-0000-000057050000}"/>
    <cellStyle name="Normal 18 9 3 2 2 2" xfId="2757" xr:uid="{A51840CF-D935-436B-8A28-427F0B3B60BD}"/>
    <cellStyle name="Normal 18 9 3 2 3" xfId="2756" xr:uid="{24514E01-128E-4A53-A886-1AD481E6D99E}"/>
    <cellStyle name="Normal 18 9 3 3" xfId="1368" xr:uid="{00000000-0005-0000-0000-000058050000}"/>
    <cellStyle name="Normal 18 9 3 3 2" xfId="2758" xr:uid="{2D72140E-E718-4072-B252-BE10014CA643}"/>
    <cellStyle name="Normal 18 9 3 4" xfId="2755" xr:uid="{8315B082-A1F3-49A4-B3A8-E95593664EB8}"/>
    <cellStyle name="Normal 18 9 4" xfId="1369" xr:uid="{00000000-0005-0000-0000-000059050000}"/>
    <cellStyle name="Normal 18 9 4 2" xfId="1370" xr:uid="{00000000-0005-0000-0000-00005A050000}"/>
    <cellStyle name="Normal 18 9 4 2 2" xfId="2760" xr:uid="{B1CDF904-E7C7-4E0C-B0F8-9FF8F7C836F2}"/>
    <cellStyle name="Normal 18 9 4 3" xfId="2759" xr:uid="{6F043FE7-EF90-4D28-96A7-5E005BE7B8F5}"/>
    <cellStyle name="Normal 18 9 5" xfId="1371" xr:uid="{00000000-0005-0000-0000-00005B050000}"/>
    <cellStyle name="Normal 18 9 5 2" xfId="1372" xr:uid="{00000000-0005-0000-0000-00005C050000}"/>
    <cellStyle name="Normal 18 9 5 2 2" xfId="2762" xr:uid="{40930D38-FB76-4200-A4AB-9C6097E9D8FF}"/>
    <cellStyle name="Normal 18 9 5 3" xfId="2761" xr:uid="{C7690F39-9E2E-41C9-AC26-D2CFA129014D}"/>
    <cellStyle name="Normal 18 9 6" xfId="1373" xr:uid="{00000000-0005-0000-0000-00005D050000}"/>
    <cellStyle name="Normal 18 9 6 2" xfId="2763" xr:uid="{1F0EFE84-3E11-4AF0-97A7-30395A01FA28}"/>
    <cellStyle name="Normal 18 9 7" xfId="2750" xr:uid="{DBD29FA9-7811-41FD-979D-3CD34730C22B}"/>
    <cellStyle name="Normal 19" xfId="1374" xr:uid="{00000000-0005-0000-0000-00005E050000}"/>
    <cellStyle name="Normal 19 2" xfId="1375" xr:uid="{00000000-0005-0000-0000-00005F050000}"/>
    <cellStyle name="Normal 19 3" xfId="1376" xr:uid="{00000000-0005-0000-0000-000060050000}"/>
    <cellStyle name="Normal 19 4" xfId="1377" xr:uid="{00000000-0005-0000-0000-000061050000}"/>
    <cellStyle name="Normal 2" xfId="1378" xr:uid="{00000000-0005-0000-0000-000062050000}"/>
    <cellStyle name="Normal 2 10" xfId="1379" xr:uid="{00000000-0005-0000-0000-000063050000}"/>
    <cellStyle name="Normal 2 10 2" xfId="1380" xr:uid="{00000000-0005-0000-0000-000064050000}"/>
    <cellStyle name="Normal 2 10 2 2" xfId="1381" xr:uid="{00000000-0005-0000-0000-000065050000}"/>
    <cellStyle name="Normal 2 11" xfId="1382" xr:uid="{00000000-0005-0000-0000-000066050000}"/>
    <cellStyle name="Normal 2 11 2" xfId="1383" xr:uid="{00000000-0005-0000-0000-000067050000}"/>
    <cellStyle name="Normal 2 12" xfId="1384" xr:uid="{00000000-0005-0000-0000-000068050000}"/>
    <cellStyle name="Normal 2 13" xfId="1385" xr:uid="{00000000-0005-0000-0000-000069050000}"/>
    <cellStyle name="Normal 2 13 2" xfId="1386" xr:uid="{00000000-0005-0000-0000-00006A050000}"/>
    <cellStyle name="Normal 2 14" xfId="1387" xr:uid="{00000000-0005-0000-0000-00006B050000}"/>
    <cellStyle name="Normal 2 14 2" xfId="1388" xr:uid="{00000000-0005-0000-0000-00006C050000}"/>
    <cellStyle name="Normal 2 15" xfId="1389" xr:uid="{00000000-0005-0000-0000-00006D050000}"/>
    <cellStyle name="Normal 2 16" xfId="1390" xr:uid="{00000000-0005-0000-0000-00006E050000}"/>
    <cellStyle name="Normal 2 16 2" xfId="1391" xr:uid="{00000000-0005-0000-0000-00006F050000}"/>
    <cellStyle name="Normal 2 17" xfId="2907" xr:uid="{17A426C4-79A4-4F0B-91D6-05FEC2396D3A}"/>
    <cellStyle name="Normal 2 18" xfId="2933" xr:uid="{115DD375-6458-4FE4-9A83-9B60CE406004}"/>
    <cellStyle name="Normal 2 2" xfId="1392" xr:uid="{00000000-0005-0000-0000-000070050000}"/>
    <cellStyle name="Normal 2 2 2" xfId="1393" xr:uid="{00000000-0005-0000-0000-000071050000}"/>
    <cellStyle name="Normal 2 2 2 2" xfId="1394" xr:uid="{00000000-0005-0000-0000-000072050000}"/>
    <cellStyle name="Normal 2 2 2 2 2" xfId="1395" xr:uid="{00000000-0005-0000-0000-000073050000}"/>
    <cellStyle name="Normal 2 2 2 2 3" xfId="1969" xr:uid="{7893BAE2-4ECB-4C06-AD40-4FFA81FB585A}"/>
    <cellStyle name="Normal 2 2 2 3" xfId="1396" xr:uid="{00000000-0005-0000-0000-000074050000}"/>
    <cellStyle name="Normal 2 2 2 3 2" xfId="1397" xr:uid="{00000000-0005-0000-0000-000075050000}"/>
    <cellStyle name="Normal 2 2 2 4" xfId="1398" xr:uid="{00000000-0005-0000-0000-000076050000}"/>
    <cellStyle name="Normal 2 2 2 5" xfId="1968" xr:uid="{1F990ADE-2194-4CEA-9051-06DB3C1AFF1C}"/>
    <cellStyle name="Normal 2 2 3" xfId="1399" xr:uid="{00000000-0005-0000-0000-000077050000}"/>
    <cellStyle name="Normal 2 2 3 2" xfId="1400" xr:uid="{00000000-0005-0000-0000-000078050000}"/>
    <cellStyle name="Normal 2 2 3 3" xfId="1401" xr:uid="{00000000-0005-0000-0000-000079050000}"/>
    <cellStyle name="Normal 2 2 4" xfId="1402" xr:uid="{00000000-0005-0000-0000-00007A050000}"/>
    <cellStyle name="Normal 2 2 4 2" xfId="1403" xr:uid="{00000000-0005-0000-0000-00007B050000}"/>
    <cellStyle name="Normal 2 2 4 2 2" xfId="1404" xr:uid="{00000000-0005-0000-0000-00007C050000}"/>
    <cellStyle name="Normal 2 2 4 2 2 2" xfId="2898" xr:uid="{E42FD27E-427C-493D-8ACF-C97C011D90C8}"/>
    <cellStyle name="Normal 2 2 4 3" xfId="1405" xr:uid="{00000000-0005-0000-0000-00007D050000}"/>
    <cellStyle name="Normal 2 2 4 3 2" xfId="2886" xr:uid="{E8B2E051-E835-4918-95D9-524D92FAEDA9}"/>
    <cellStyle name="Normal 2 2 4 4" xfId="1970" xr:uid="{8A9F8605-928E-4445-9D8D-0B4D68330097}"/>
    <cellStyle name="Normal 2 2 4 5" xfId="2919" xr:uid="{7019C365-BBA2-4076-A701-55CE28CE80F3}"/>
    <cellStyle name="Normal 2 2 4 6" xfId="2940" xr:uid="{1EDF99C0-0F22-4D6F-8F5E-B1D4629F0BA1}"/>
    <cellStyle name="Normal 2 2 5" xfId="1406" xr:uid="{00000000-0005-0000-0000-00007E050000}"/>
    <cellStyle name="Normal 2 2 5 2" xfId="1407" xr:uid="{00000000-0005-0000-0000-00007F050000}"/>
    <cellStyle name="Normal 2 3" xfId="1408" xr:uid="{00000000-0005-0000-0000-000080050000}"/>
    <cellStyle name="Normal 2 3 2" xfId="1409" xr:uid="{00000000-0005-0000-0000-000081050000}"/>
    <cellStyle name="Normal 2 3 2 2" xfId="1410" xr:uid="{00000000-0005-0000-0000-000082050000}"/>
    <cellStyle name="Normal 2 3 2 3" xfId="1971" xr:uid="{BDE7F875-7F08-42EC-BF09-0CDBDB5FBB4A}"/>
    <cellStyle name="Normal 2 3 3" xfId="1411" xr:uid="{00000000-0005-0000-0000-000083050000}"/>
    <cellStyle name="Normal 2 3 4" xfId="1412" xr:uid="{00000000-0005-0000-0000-000084050000}"/>
    <cellStyle name="Normal 2 3 5" xfId="1413" xr:uid="{00000000-0005-0000-0000-000085050000}"/>
    <cellStyle name="Normal 2 3 6" xfId="1414" xr:uid="{00000000-0005-0000-0000-000086050000}"/>
    <cellStyle name="Normal 2 4" xfId="1415" xr:uid="{00000000-0005-0000-0000-000087050000}"/>
    <cellStyle name="Normal 2 4 2" xfId="1416" xr:uid="{00000000-0005-0000-0000-000088050000}"/>
    <cellStyle name="Normal 2 4 2 2" xfId="1417" xr:uid="{00000000-0005-0000-0000-000089050000}"/>
    <cellStyle name="Normal 2 4 2 3" xfId="1972" xr:uid="{B18E3E8A-8CD2-4A83-BF58-C4305427EBD3}"/>
    <cellStyle name="Normal 2 4 3" xfId="1418" xr:uid="{00000000-0005-0000-0000-00008A050000}"/>
    <cellStyle name="Normal 2 4 4" xfId="1419" xr:uid="{00000000-0005-0000-0000-00008B050000}"/>
    <cellStyle name="Normal 2 4 4 2" xfId="2897" xr:uid="{2992E479-5BE1-45AA-9DA9-EC41B1176F80}"/>
    <cellStyle name="Normal 2 4 5" xfId="1420" xr:uid="{00000000-0005-0000-0000-00008C050000}"/>
    <cellStyle name="Normal 2 4 5 2" xfId="2885" xr:uid="{B7521BAA-93A2-4A7D-AF06-9E6F00C35C34}"/>
    <cellStyle name="Normal 2 4 6" xfId="1421" xr:uid="{00000000-0005-0000-0000-00008D050000}"/>
    <cellStyle name="Normal 2 4 7" xfId="2918" xr:uid="{6556CA41-2140-4E91-BC79-BAAD046BB5F8}"/>
    <cellStyle name="Normal 2 4 8" xfId="2939" xr:uid="{58B3FF9D-701A-4702-B4F5-67CB7D3DFA33}"/>
    <cellStyle name="Normal 2 5" xfId="1422" xr:uid="{00000000-0005-0000-0000-00008E050000}"/>
    <cellStyle name="Normal 2 5 2" xfId="1423" xr:uid="{00000000-0005-0000-0000-00008F050000}"/>
    <cellStyle name="Normal 2 6" xfId="1424" xr:uid="{00000000-0005-0000-0000-000090050000}"/>
    <cellStyle name="Normal 2 6 2" xfId="1973" xr:uid="{D8E6E881-2D41-4379-9659-28EDBC9F94B0}"/>
    <cellStyle name="Normal 2 6 3" xfId="2930" xr:uid="{15A37039-F7BE-431E-8FC3-28F3F5B38B80}"/>
    <cellStyle name="Normal 2 6 4" xfId="2952" xr:uid="{B33F0FF3-8A90-4AB0-A3A0-9CD7138C79B1}"/>
    <cellStyle name="Normal 2 6 5" xfId="1942" xr:uid="{31F75309-2F6B-463F-A43B-D516EECDF6B6}"/>
    <cellStyle name="Normal 2 7" xfId="1425" xr:uid="{00000000-0005-0000-0000-000091050000}"/>
    <cellStyle name="Normal 2 8" xfId="1426" xr:uid="{00000000-0005-0000-0000-000092050000}"/>
    <cellStyle name="Normal 2 8 2" xfId="1427" xr:uid="{00000000-0005-0000-0000-000093050000}"/>
    <cellStyle name="Normal 2 9" xfId="1428" xr:uid="{00000000-0005-0000-0000-000094050000}"/>
    <cellStyle name="Normal 2 9 2" xfId="1429" xr:uid="{00000000-0005-0000-0000-000095050000}"/>
    <cellStyle name="Normal 20" xfId="1430" xr:uid="{00000000-0005-0000-0000-000096050000}"/>
    <cellStyle name="Normal 20 2" xfId="1431" xr:uid="{00000000-0005-0000-0000-000097050000}"/>
    <cellStyle name="Normal 20 3" xfId="1432" xr:uid="{00000000-0005-0000-0000-000098050000}"/>
    <cellStyle name="Normal 20 4" xfId="1433" xr:uid="{00000000-0005-0000-0000-000099050000}"/>
    <cellStyle name="Normal 21" xfId="1434" xr:uid="{00000000-0005-0000-0000-00009A050000}"/>
    <cellStyle name="Normal 21 2" xfId="1435" xr:uid="{00000000-0005-0000-0000-00009B050000}"/>
    <cellStyle name="Normal 21 3" xfId="1436" xr:uid="{00000000-0005-0000-0000-00009C050000}"/>
    <cellStyle name="Normal 21 4" xfId="1437" xr:uid="{00000000-0005-0000-0000-00009D050000}"/>
    <cellStyle name="Normal 22" xfId="1438" xr:uid="{00000000-0005-0000-0000-00009E050000}"/>
    <cellStyle name="Normal 22 2" xfId="1439" xr:uid="{00000000-0005-0000-0000-00009F050000}"/>
    <cellStyle name="Normal 22 3" xfId="1440" xr:uid="{00000000-0005-0000-0000-0000A0050000}"/>
    <cellStyle name="Normal 22 4" xfId="1441" xr:uid="{00000000-0005-0000-0000-0000A1050000}"/>
    <cellStyle name="Normal 23" xfId="1442" xr:uid="{00000000-0005-0000-0000-0000A2050000}"/>
    <cellStyle name="Normal 23 2" xfId="1443" xr:uid="{00000000-0005-0000-0000-0000A3050000}"/>
    <cellStyle name="Normal 23 3" xfId="1444" xr:uid="{00000000-0005-0000-0000-0000A4050000}"/>
    <cellStyle name="Normal 23 4" xfId="1445" xr:uid="{00000000-0005-0000-0000-0000A5050000}"/>
    <cellStyle name="Normal 24" xfId="1446" xr:uid="{00000000-0005-0000-0000-0000A6050000}"/>
    <cellStyle name="Normal 24 2" xfId="1447" xr:uid="{00000000-0005-0000-0000-0000A7050000}"/>
    <cellStyle name="Normal 24 3" xfId="1448" xr:uid="{00000000-0005-0000-0000-0000A8050000}"/>
    <cellStyle name="Normal 24 4" xfId="1449" xr:uid="{00000000-0005-0000-0000-0000A9050000}"/>
    <cellStyle name="Normal 25" xfId="1450" xr:uid="{00000000-0005-0000-0000-0000AA050000}"/>
    <cellStyle name="Normal 25 2" xfId="1451" xr:uid="{00000000-0005-0000-0000-0000AB050000}"/>
    <cellStyle name="Normal 25 3" xfId="1452" xr:uid="{00000000-0005-0000-0000-0000AC050000}"/>
    <cellStyle name="Normal 25 4" xfId="1453" xr:uid="{00000000-0005-0000-0000-0000AD050000}"/>
    <cellStyle name="Normal 26" xfId="1454" xr:uid="{00000000-0005-0000-0000-0000AE050000}"/>
    <cellStyle name="Normal 26 2" xfId="1455" xr:uid="{00000000-0005-0000-0000-0000AF050000}"/>
    <cellStyle name="Normal 26 3" xfId="1456" xr:uid="{00000000-0005-0000-0000-0000B0050000}"/>
    <cellStyle name="Normal 26 4" xfId="1457" xr:uid="{00000000-0005-0000-0000-0000B1050000}"/>
    <cellStyle name="Normal 27" xfId="1458" xr:uid="{00000000-0005-0000-0000-0000B2050000}"/>
    <cellStyle name="Normal 27 2" xfId="1459" xr:uid="{00000000-0005-0000-0000-0000B3050000}"/>
    <cellStyle name="Normal 27 2 2" xfId="2764" xr:uid="{9C0DD874-3E39-44B8-AF1A-1683741D1BE8}"/>
    <cellStyle name="Normal 28" xfId="1460" xr:uid="{00000000-0005-0000-0000-0000B4050000}"/>
    <cellStyle name="Normal 28 2" xfId="1461" xr:uid="{00000000-0005-0000-0000-0000B5050000}"/>
    <cellStyle name="Normal 29" xfId="1462" xr:uid="{00000000-0005-0000-0000-0000B6050000}"/>
    <cellStyle name="Normal 29 2" xfId="1463" xr:uid="{00000000-0005-0000-0000-0000B7050000}"/>
    <cellStyle name="Normal 3" xfId="1464" xr:uid="{00000000-0005-0000-0000-0000B8050000}"/>
    <cellStyle name="Normal 3 10" xfId="1465" xr:uid="{00000000-0005-0000-0000-0000B9050000}"/>
    <cellStyle name="Normal 3 10 2" xfId="1466" xr:uid="{00000000-0005-0000-0000-0000BA050000}"/>
    <cellStyle name="Normal 3 10 2 2" xfId="2766" xr:uid="{AA096738-99FE-4FAC-8E6C-A212F4DE53F7}"/>
    <cellStyle name="Normal 3 10 3" xfId="2765" xr:uid="{A60FD903-0606-4EE5-A611-B6C54970D784}"/>
    <cellStyle name="Normal 3 11" xfId="1467" xr:uid="{00000000-0005-0000-0000-0000BB050000}"/>
    <cellStyle name="Normal 3 12" xfId="1468" xr:uid="{00000000-0005-0000-0000-0000BC050000}"/>
    <cellStyle name="Normal 3 13" xfId="1925" xr:uid="{453694A4-D4AE-4A32-9027-7E8CE55BE717}"/>
    <cellStyle name="Normal 3 13 2" xfId="2908" xr:uid="{ACAF4703-DA0B-4E40-BACA-20EABCDEF3B0}"/>
    <cellStyle name="Normal 3 14" xfId="2934" xr:uid="{43268A6D-68A4-4AB1-B881-B56902979EA9}"/>
    <cellStyle name="Normal 3 2" xfId="1469" xr:uid="{00000000-0005-0000-0000-0000BD050000}"/>
    <cellStyle name="Normal 3 2 2" xfId="1470" xr:uid="{00000000-0005-0000-0000-0000BE050000}"/>
    <cellStyle name="Normal 3 2 2 2" xfId="1471" xr:uid="{00000000-0005-0000-0000-0000BF050000}"/>
    <cellStyle name="Normal 3 2 3" xfId="1472" xr:uid="{00000000-0005-0000-0000-0000C0050000}"/>
    <cellStyle name="Normal 3 2 4" xfId="1473" xr:uid="{00000000-0005-0000-0000-0000C1050000}"/>
    <cellStyle name="Normal 3 2 5" xfId="1926" xr:uid="{07E5F0A5-773D-470D-9F70-7DAE6CA17C56}"/>
    <cellStyle name="Normal 3 2 5 2" xfId="1974" xr:uid="{08236995-A262-4ED0-A0D9-8C10A71AD1AC}"/>
    <cellStyle name="Normal 3 3" xfId="1474" xr:uid="{00000000-0005-0000-0000-0000C2050000}"/>
    <cellStyle name="Normal 3 3 2" xfId="1475" xr:uid="{00000000-0005-0000-0000-0000C3050000}"/>
    <cellStyle name="Normal 3 3 3" xfId="1476" xr:uid="{00000000-0005-0000-0000-0000C4050000}"/>
    <cellStyle name="Normal 3 3 4" xfId="1477" xr:uid="{00000000-0005-0000-0000-0000C5050000}"/>
    <cellStyle name="Normal 3 3 5" xfId="1918" xr:uid="{1212050B-A4B3-4FF1-8AA7-AD82E66C077C}"/>
    <cellStyle name="Normal 3 3 5 2" xfId="1975" xr:uid="{4D291574-9003-4EDD-91AC-104663F73AAE}"/>
    <cellStyle name="Normal 3 4" xfId="1478" xr:uid="{00000000-0005-0000-0000-0000C6050000}"/>
    <cellStyle name="Normal 3 4 2" xfId="1479" xr:uid="{00000000-0005-0000-0000-0000C7050000}"/>
    <cellStyle name="Normal 3 4 3" xfId="2928" xr:uid="{1737D2AB-CFAB-4B3D-BB74-F299318C1E5A}"/>
    <cellStyle name="Normal 3 4 4" xfId="2950" xr:uid="{7935432C-E0E0-4E06-B354-23D655FDC43B}"/>
    <cellStyle name="Normal 3 4 5" xfId="1941" xr:uid="{5AC2ABAB-E74B-41CA-A9A5-D6F2027994E4}"/>
    <cellStyle name="Normal 3 5" xfId="1480" xr:uid="{00000000-0005-0000-0000-0000C8050000}"/>
    <cellStyle name="Normal 3 5 2" xfId="1481" xr:uid="{00000000-0005-0000-0000-0000C9050000}"/>
    <cellStyle name="Normal 3 5 3" xfId="1939" xr:uid="{06886CCF-6AD9-4EB5-93B3-9F3BBEC46F16}"/>
    <cellStyle name="Normal 3 6" xfId="1482" xr:uid="{00000000-0005-0000-0000-0000CA050000}"/>
    <cellStyle name="Normal 3 6 2" xfId="1483" xr:uid="{00000000-0005-0000-0000-0000CB050000}"/>
    <cellStyle name="Normal 3 7" xfId="1484" xr:uid="{00000000-0005-0000-0000-0000CC050000}"/>
    <cellStyle name="Normal 3 8" xfId="1485" xr:uid="{00000000-0005-0000-0000-0000CD050000}"/>
    <cellStyle name="Normal 3 9" xfId="1486" xr:uid="{00000000-0005-0000-0000-0000CE050000}"/>
    <cellStyle name="Normal 3 9 2" xfId="1487" xr:uid="{00000000-0005-0000-0000-0000CF050000}"/>
    <cellStyle name="Normal 3 9 2 2" xfId="1488" xr:uid="{00000000-0005-0000-0000-0000D0050000}"/>
    <cellStyle name="Normal 30" xfId="1489" xr:uid="{00000000-0005-0000-0000-0000D1050000}"/>
    <cellStyle name="Normal 31" xfId="1490" xr:uid="{00000000-0005-0000-0000-0000D2050000}"/>
    <cellStyle name="Normal 32" xfId="1491" xr:uid="{00000000-0005-0000-0000-0000D3050000}"/>
    <cellStyle name="Normal 32 2" xfId="1492" xr:uid="{00000000-0005-0000-0000-0000D4050000}"/>
    <cellStyle name="Normal 32 2 2" xfId="1493" xr:uid="{00000000-0005-0000-0000-0000D5050000}"/>
    <cellStyle name="Normal 32 3" xfId="1494" xr:uid="{00000000-0005-0000-0000-0000D6050000}"/>
    <cellStyle name="Normal 33" xfId="1495" xr:uid="{00000000-0005-0000-0000-0000D7050000}"/>
    <cellStyle name="Normal 34" xfId="1496" xr:uid="{00000000-0005-0000-0000-0000D8050000}"/>
    <cellStyle name="Normal 35" xfId="1934" xr:uid="{5A4F2D33-80CF-4061-825B-4AADFBAF22DA}"/>
    <cellStyle name="Normal 35 2" xfId="2913" xr:uid="{7F724F5B-09D3-42AD-A76A-39AD16E70D8A}"/>
    <cellStyle name="Normal 36" xfId="1936" xr:uid="{CD50D08C-1569-4FBE-95A2-7A7ACAA52970}"/>
    <cellStyle name="Normal 36 2" xfId="2914" xr:uid="{6C616B1C-664C-4A1D-9F8D-57B75C281AEC}"/>
    <cellStyle name="Normal 4" xfId="1497" xr:uid="{00000000-0005-0000-0000-0000D9050000}"/>
    <cellStyle name="Normal 4 10" xfId="1498" xr:uid="{00000000-0005-0000-0000-0000DA050000}"/>
    <cellStyle name="Normal 4 11" xfId="1499" xr:uid="{00000000-0005-0000-0000-0000DB050000}"/>
    <cellStyle name="Normal 4 12" xfId="1927" xr:uid="{356F997F-2BB3-4554-A5D8-550329EAECBA}"/>
    <cellStyle name="Normal 4 12 2" xfId="1976" xr:uid="{6D6AF4E0-3793-4537-BF45-216EC57B973E}"/>
    <cellStyle name="Normal 4 13" xfId="2909" xr:uid="{B262C6FA-12A7-4359-8A5B-49F60F866A35}"/>
    <cellStyle name="Normal 4 14" xfId="2935" xr:uid="{E108A6C6-780F-4E32-8A04-A1F64AD9AB33}"/>
    <cellStyle name="Normal 4 2" xfId="1500" xr:uid="{00000000-0005-0000-0000-0000DC050000}"/>
    <cellStyle name="Normal 4 2 2" xfId="1501" xr:uid="{00000000-0005-0000-0000-0000DD050000}"/>
    <cellStyle name="Normal 4 2 2 2" xfId="1502" xr:uid="{00000000-0005-0000-0000-0000DE050000}"/>
    <cellStyle name="Normal 4 2 2 2 2" xfId="2899" xr:uid="{30CB5C67-FB05-4E74-88F0-2C58EF1550C5}"/>
    <cellStyle name="Normal 4 2 3" xfId="1503" xr:uid="{00000000-0005-0000-0000-0000DF050000}"/>
    <cellStyle name="Normal 4 2 4" xfId="1504" xr:uid="{00000000-0005-0000-0000-0000E0050000}"/>
    <cellStyle name="Normal 4 2 5" xfId="1505" xr:uid="{00000000-0005-0000-0000-0000E1050000}"/>
    <cellStyle name="Normal 4 2 5 2" xfId="2887" xr:uid="{8E3F4DD1-14E7-4B5F-9A6A-F2F220802053}"/>
    <cellStyle name="Normal 4 2 6" xfId="1977" xr:uid="{5458618A-69EB-4285-A55A-B0CFB8943823}"/>
    <cellStyle name="Normal 4 2 7" xfId="2920" xr:uid="{FCD91E89-CD54-49FA-B412-587A48B71CEE}"/>
    <cellStyle name="Normal 4 2 8" xfId="2941" xr:uid="{04922088-57FB-4C5B-868E-4348BF7CB0A6}"/>
    <cellStyle name="Normal 4 3" xfId="1506" xr:uid="{00000000-0005-0000-0000-0000E2050000}"/>
    <cellStyle name="Normal 4 3 2" xfId="1507" xr:uid="{00000000-0005-0000-0000-0000E3050000}"/>
    <cellStyle name="Normal 4 3 3" xfId="1508" xr:uid="{00000000-0005-0000-0000-0000E4050000}"/>
    <cellStyle name="Normal 4 3 4" xfId="1509" xr:uid="{00000000-0005-0000-0000-0000E5050000}"/>
    <cellStyle name="Normal 4 3 5" xfId="1978" xr:uid="{1443DC4A-D33B-4668-9851-58772F38D887}"/>
    <cellStyle name="Normal 4 3 6" xfId="1938" xr:uid="{53CAF54D-1148-4B3E-B96E-48A49CDAA38A}"/>
    <cellStyle name="Normal 4 4" xfId="1510" xr:uid="{00000000-0005-0000-0000-0000E6050000}"/>
    <cellStyle name="Normal 4 4 2" xfId="1511" xr:uid="{00000000-0005-0000-0000-0000E7050000}"/>
    <cellStyle name="Normal 4 5" xfId="1512" xr:uid="{00000000-0005-0000-0000-0000E8050000}"/>
    <cellStyle name="Normal 4 5 2" xfId="1513" xr:uid="{00000000-0005-0000-0000-0000E9050000}"/>
    <cellStyle name="Normal 4 6" xfId="1514" xr:uid="{00000000-0005-0000-0000-0000EA050000}"/>
    <cellStyle name="Normal 4 6 2" xfId="1515" xr:uid="{00000000-0005-0000-0000-0000EB050000}"/>
    <cellStyle name="Normal 4 7" xfId="1516" xr:uid="{00000000-0005-0000-0000-0000EC050000}"/>
    <cellStyle name="Normal 4 7 2" xfId="1517" xr:uid="{00000000-0005-0000-0000-0000ED050000}"/>
    <cellStyle name="Normal 4 7 2 2" xfId="1518" xr:uid="{00000000-0005-0000-0000-0000EE050000}"/>
    <cellStyle name="Normal 4 7 2 2 2" xfId="1519" xr:uid="{00000000-0005-0000-0000-0000EF050000}"/>
    <cellStyle name="Normal 4 7 2 2 2 2" xfId="2769" xr:uid="{943340B1-53E9-4BAD-8302-AA6073175F13}"/>
    <cellStyle name="Normal 4 7 2 2 3" xfId="2768" xr:uid="{42EEF9FB-7221-4F98-B8AC-A81C1AD44F90}"/>
    <cellStyle name="Normal 4 7 2 3" xfId="1520" xr:uid="{00000000-0005-0000-0000-0000F0050000}"/>
    <cellStyle name="Normal 4 7 2 3 2" xfId="2770" xr:uid="{A1094F90-9DE8-4A34-83CB-9B2C3CCD98CF}"/>
    <cellStyle name="Normal 4 7 2 4" xfId="2767" xr:uid="{F0086DB2-FD80-46A1-B85B-F678A87B326C}"/>
    <cellStyle name="Normal 4 8" xfId="1521" xr:uid="{00000000-0005-0000-0000-0000F1050000}"/>
    <cellStyle name="Normal 4 9" xfId="1522" xr:uid="{00000000-0005-0000-0000-0000F2050000}"/>
    <cellStyle name="Normal 5" xfId="1523" xr:uid="{00000000-0005-0000-0000-0000F3050000}"/>
    <cellStyle name="Normal 5 10" xfId="1524" xr:uid="{00000000-0005-0000-0000-0000F4050000}"/>
    <cellStyle name="Normal 5 11" xfId="1979" xr:uid="{82673BC8-E031-4F23-BD32-D55E2293EAEB}"/>
    <cellStyle name="Normal 5 2" xfId="1525" xr:uid="{00000000-0005-0000-0000-0000F5050000}"/>
    <cellStyle name="Normal 5 2 2" xfId="1526" xr:uid="{00000000-0005-0000-0000-0000F6050000}"/>
    <cellStyle name="Normal 5 2 2 2" xfId="1527" xr:uid="{00000000-0005-0000-0000-0000F7050000}"/>
    <cellStyle name="Normal 5 2 2 2 2" xfId="2900" xr:uid="{71996EEB-4E41-4385-B11C-3F3A8A745748}"/>
    <cellStyle name="Normal 5 2 2 3" xfId="1528" xr:uid="{00000000-0005-0000-0000-0000F8050000}"/>
    <cellStyle name="Normal 5 2 3" xfId="1529" xr:uid="{00000000-0005-0000-0000-0000F9050000}"/>
    <cellStyle name="Normal 5 2 4" xfId="1530" xr:uid="{00000000-0005-0000-0000-0000FA050000}"/>
    <cellStyle name="Normal 5 2 4 2" xfId="2888" xr:uid="{4EB8FD7B-1AC6-460A-AD76-ECC1F7E4FF28}"/>
    <cellStyle name="Normal 5 2 5" xfId="1980" xr:uid="{1A2211D4-4EF5-4C84-B9D1-DFA1CBAF6441}"/>
    <cellStyle name="Normal 5 2 6" xfId="2921" xr:uid="{2B51EF17-8189-4744-977A-42AF93CEA6FD}"/>
    <cellStyle name="Normal 5 2 7" xfId="2942" xr:uid="{DA1CC885-2C0D-4C8A-B5D2-E9020A79B957}"/>
    <cellStyle name="Normal 5 3" xfId="1531" xr:uid="{00000000-0005-0000-0000-0000FB050000}"/>
    <cellStyle name="Normal 5 3 2" xfId="1532" xr:uid="{00000000-0005-0000-0000-0000FC050000}"/>
    <cellStyle name="Normal 5 3 2 2" xfId="1533" xr:uid="{00000000-0005-0000-0000-0000FD050000}"/>
    <cellStyle name="Normal 5 3 3" xfId="1534" xr:uid="{00000000-0005-0000-0000-0000FE050000}"/>
    <cellStyle name="Normal 5 4" xfId="1535" xr:uid="{00000000-0005-0000-0000-0000FF050000}"/>
    <cellStyle name="Normal 5 4 2" xfId="1536" xr:uid="{00000000-0005-0000-0000-000000060000}"/>
    <cellStyle name="Normal 5 5" xfId="1537" xr:uid="{00000000-0005-0000-0000-000001060000}"/>
    <cellStyle name="Normal 5 5 2" xfId="1538" xr:uid="{00000000-0005-0000-0000-000002060000}"/>
    <cellStyle name="Normal 5 6" xfId="1539" xr:uid="{00000000-0005-0000-0000-000003060000}"/>
    <cellStyle name="Normal 5 6 2" xfId="1540" xr:uid="{00000000-0005-0000-0000-000004060000}"/>
    <cellStyle name="Normal 5 7" xfId="1541" xr:uid="{00000000-0005-0000-0000-000005060000}"/>
    <cellStyle name="Normal 5 8" xfId="1542" xr:uid="{00000000-0005-0000-0000-000006060000}"/>
    <cellStyle name="Normal 5 9" xfId="1543" xr:uid="{00000000-0005-0000-0000-000007060000}"/>
    <cellStyle name="Normal 6" xfId="1544" xr:uid="{00000000-0005-0000-0000-000008060000}"/>
    <cellStyle name="Normal 6 10" xfId="1545" xr:uid="{00000000-0005-0000-0000-000009060000}"/>
    <cellStyle name="Normal 6 11" xfId="1546" xr:uid="{00000000-0005-0000-0000-00000A060000}"/>
    <cellStyle name="Normal 6 11 2" xfId="2772" xr:uid="{372B8565-54A3-4E57-81E2-ACC2C32371B7}"/>
    <cellStyle name="Normal 6 12" xfId="1547" xr:uid="{00000000-0005-0000-0000-00000B060000}"/>
    <cellStyle name="Normal 6 12 2" xfId="2773" xr:uid="{848E1659-2B0D-459B-8FA4-AC7FE89A24DA}"/>
    <cellStyle name="Normal 6 13" xfId="1981" xr:uid="{E2EC33A5-5619-44AC-B0D5-F2036F898952}"/>
    <cellStyle name="Normal 6 14" xfId="2771" xr:uid="{0BC2D487-2839-4DA9-B53A-7D710A51EDB3}"/>
    <cellStyle name="Normal 6 15" xfId="2911" xr:uid="{156A9B22-7B06-47CA-BA4C-87EC98453AD6}"/>
    <cellStyle name="Normal 6 16" xfId="2937" xr:uid="{04B7806C-34DD-4C57-90C3-A920CA7798FE}"/>
    <cellStyle name="Normal 6 2" xfId="1548" xr:uid="{00000000-0005-0000-0000-00000C060000}"/>
    <cellStyle name="Normal 6 2 10" xfId="1549" xr:uid="{00000000-0005-0000-0000-00000D060000}"/>
    <cellStyle name="Normal 6 2 10 2" xfId="2775" xr:uid="{E53C4262-DC36-4979-B376-8C1BAB498423}"/>
    <cellStyle name="Normal 6 2 11" xfId="1550" xr:uid="{00000000-0005-0000-0000-00000E060000}"/>
    <cellStyle name="Normal 6 2 12" xfId="1982" xr:uid="{3159F3F8-4300-4588-BAAB-29236FEEA27A}"/>
    <cellStyle name="Normal 6 2 13" xfId="2774" xr:uid="{1D102E12-5F32-4536-9750-5A3ABA651A05}"/>
    <cellStyle name="Normal 6 2 2" xfId="1551" xr:uid="{00000000-0005-0000-0000-00000F060000}"/>
    <cellStyle name="Normal 6 2 2 2" xfId="1552" xr:uid="{00000000-0005-0000-0000-000010060000}"/>
    <cellStyle name="Normal 6 2 3" xfId="1553" xr:uid="{00000000-0005-0000-0000-000011060000}"/>
    <cellStyle name="Normal 6 2 3 2" xfId="1554" xr:uid="{00000000-0005-0000-0000-000012060000}"/>
    <cellStyle name="Normal 6 2 4" xfId="1555" xr:uid="{00000000-0005-0000-0000-000013060000}"/>
    <cellStyle name="Normal 6 2 4 2" xfId="1556" xr:uid="{00000000-0005-0000-0000-000014060000}"/>
    <cellStyle name="Normal 6 2 4 2 2" xfId="1557" xr:uid="{00000000-0005-0000-0000-000015060000}"/>
    <cellStyle name="Normal 6 2 4 2 2 2" xfId="1558" xr:uid="{00000000-0005-0000-0000-000016060000}"/>
    <cellStyle name="Normal 6 2 4 2 2 2 2" xfId="2779" xr:uid="{948C7230-0818-4F69-B32D-938858DE1BB2}"/>
    <cellStyle name="Normal 6 2 4 2 2 3" xfId="2778" xr:uid="{9FB7BE73-6E2D-44C7-92A9-A09BEB6DED37}"/>
    <cellStyle name="Normal 6 2 4 2 3" xfId="1559" xr:uid="{00000000-0005-0000-0000-000017060000}"/>
    <cellStyle name="Normal 6 2 4 2 3 2" xfId="2780" xr:uid="{2CE3B281-3B13-45A9-8B24-6239BDBE624C}"/>
    <cellStyle name="Normal 6 2 4 2 4" xfId="2777" xr:uid="{BC3C605F-8F7F-43B2-BC67-3B79A0BB7DD2}"/>
    <cellStyle name="Normal 6 2 4 3" xfId="1560" xr:uid="{00000000-0005-0000-0000-000018060000}"/>
    <cellStyle name="Normal 6 2 4 3 2" xfId="1561" xr:uid="{00000000-0005-0000-0000-000019060000}"/>
    <cellStyle name="Normal 6 2 4 3 2 2" xfId="2782" xr:uid="{FF67370F-B7B9-4491-928D-6823DBA4E58E}"/>
    <cellStyle name="Normal 6 2 4 3 3" xfId="2781" xr:uid="{B3D45223-0348-4518-AEB4-709543EAFE48}"/>
    <cellStyle name="Normal 6 2 4 4" xfId="1562" xr:uid="{00000000-0005-0000-0000-00001A060000}"/>
    <cellStyle name="Normal 6 2 4 4 2" xfId="1563" xr:uid="{00000000-0005-0000-0000-00001B060000}"/>
    <cellStyle name="Normal 6 2 4 4 2 2" xfId="2784" xr:uid="{0DB69A52-67C4-4FDD-BFFB-C52D4B83CEA4}"/>
    <cellStyle name="Normal 6 2 4 4 3" xfId="2783" xr:uid="{E25DC5AB-33A6-4EEF-9E99-3801F00E1D37}"/>
    <cellStyle name="Normal 6 2 4 5" xfId="1564" xr:uid="{00000000-0005-0000-0000-00001C060000}"/>
    <cellStyle name="Normal 6 2 4 5 2" xfId="2785" xr:uid="{29BC1EB9-11D1-476A-94DE-759C97B0EFDF}"/>
    <cellStyle name="Normal 6 2 4 6" xfId="2776" xr:uid="{D47FF928-AB77-4B84-8251-06274C5A1595}"/>
    <cellStyle name="Normal 6 2 5" xfId="1565" xr:uid="{00000000-0005-0000-0000-00001D060000}"/>
    <cellStyle name="Normal 6 2 5 2" xfId="1566" xr:uid="{00000000-0005-0000-0000-00001E060000}"/>
    <cellStyle name="Normal 6 2 5 2 2" xfId="1567" xr:uid="{00000000-0005-0000-0000-00001F060000}"/>
    <cellStyle name="Normal 6 2 5 2 2 2" xfId="1568" xr:uid="{00000000-0005-0000-0000-000020060000}"/>
    <cellStyle name="Normal 6 2 5 2 2 2 2" xfId="2789" xr:uid="{DF8A12F3-FC1F-43B0-BD75-B53C2511AF87}"/>
    <cellStyle name="Normal 6 2 5 2 2 3" xfId="2788" xr:uid="{FE4D7532-8E9E-41F8-9FE2-106FD7D19B80}"/>
    <cellStyle name="Normal 6 2 5 2 3" xfId="1569" xr:uid="{00000000-0005-0000-0000-000021060000}"/>
    <cellStyle name="Normal 6 2 5 2 3 2" xfId="2790" xr:uid="{87A3D152-F84D-4CC5-8CA4-2B0136359CC8}"/>
    <cellStyle name="Normal 6 2 5 2 4" xfId="2787" xr:uid="{D5660198-A683-47BB-8CFB-C5A1B3176462}"/>
    <cellStyle name="Normal 6 2 5 3" xfId="1570" xr:uid="{00000000-0005-0000-0000-000022060000}"/>
    <cellStyle name="Normal 6 2 5 3 2" xfId="1571" xr:uid="{00000000-0005-0000-0000-000023060000}"/>
    <cellStyle name="Normal 6 2 5 3 2 2" xfId="2792" xr:uid="{0F1FF9D3-48DC-4D98-A596-EC3CFDFCA95F}"/>
    <cellStyle name="Normal 6 2 5 3 3" xfId="2791" xr:uid="{08F4CB9F-637D-4B83-8825-8299FE1916F8}"/>
    <cellStyle name="Normal 6 2 5 4" xfId="1572" xr:uid="{00000000-0005-0000-0000-000024060000}"/>
    <cellStyle name="Normal 6 2 5 4 2" xfId="1573" xr:uid="{00000000-0005-0000-0000-000025060000}"/>
    <cellStyle name="Normal 6 2 5 4 2 2" xfId="2794" xr:uid="{F969C6F0-C963-401A-8BB3-C068C787B4FA}"/>
    <cellStyle name="Normal 6 2 5 4 3" xfId="2793" xr:uid="{2C06E84C-F9B8-4CA2-B108-470109D20AEC}"/>
    <cellStyle name="Normal 6 2 5 5" xfId="1574" xr:uid="{00000000-0005-0000-0000-000026060000}"/>
    <cellStyle name="Normal 6 2 5 5 2" xfId="2795" xr:uid="{AF85E117-38CE-4F12-A41E-9C7F911E0EBA}"/>
    <cellStyle name="Normal 6 2 5 6" xfId="2786" xr:uid="{7678FFA4-162F-4124-A8F6-40E0EF4DC9E3}"/>
    <cellStyle name="Normal 6 2 6" xfId="1575" xr:uid="{00000000-0005-0000-0000-000027060000}"/>
    <cellStyle name="Normal 6 2 6 2" xfId="1576" xr:uid="{00000000-0005-0000-0000-000028060000}"/>
    <cellStyle name="Normal 6 2 6 2 2" xfId="1577" xr:uid="{00000000-0005-0000-0000-000029060000}"/>
    <cellStyle name="Normal 6 2 6 2 2 2" xfId="2798" xr:uid="{D706C23B-1AC8-4E53-B6C8-1BA64472DB2D}"/>
    <cellStyle name="Normal 6 2 6 2 3" xfId="2797" xr:uid="{8C33DA84-FB67-4946-8E8C-E0E7494A0508}"/>
    <cellStyle name="Normal 6 2 6 3" xfId="1578" xr:uid="{00000000-0005-0000-0000-00002A060000}"/>
    <cellStyle name="Normal 6 2 6 3 2" xfId="1579" xr:uid="{00000000-0005-0000-0000-00002B060000}"/>
    <cellStyle name="Normal 6 2 6 3 2 2" xfId="2800" xr:uid="{8E970746-1841-483A-A2FF-9751D552C6F2}"/>
    <cellStyle name="Normal 6 2 6 3 3" xfId="2799" xr:uid="{F81E8026-9EA3-43E1-912F-25E512EF8E33}"/>
    <cellStyle name="Normal 6 2 6 4" xfId="1580" xr:uid="{00000000-0005-0000-0000-00002C060000}"/>
    <cellStyle name="Normal 6 2 6 4 2" xfId="2801" xr:uid="{C659E6C7-CE8D-40D9-BBE2-07F7D0C36D21}"/>
    <cellStyle name="Normal 6 2 6 5" xfId="2796" xr:uid="{48A87DD3-340E-4271-9591-EB6F1559439B}"/>
    <cellStyle name="Normal 6 2 7" xfId="1581" xr:uid="{00000000-0005-0000-0000-00002D060000}"/>
    <cellStyle name="Normal 6 2 7 2" xfId="1582" xr:uid="{00000000-0005-0000-0000-00002E060000}"/>
    <cellStyle name="Normal 6 2 8" xfId="1583" xr:uid="{00000000-0005-0000-0000-00002F060000}"/>
    <cellStyle name="Normal 6 2 9" xfId="1584" xr:uid="{00000000-0005-0000-0000-000030060000}"/>
    <cellStyle name="Normal 6 2 9 2" xfId="2802" xr:uid="{1E237ED0-17DE-4308-89F0-DF1A1D2B1D9F}"/>
    <cellStyle name="Normal 6 3" xfId="1585" xr:uid="{00000000-0005-0000-0000-000031060000}"/>
    <cellStyle name="Normal 6 3 2" xfId="1586" xr:uid="{00000000-0005-0000-0000-000032060000}"/>
    <cellStyle name="Normal 6 3 2 2" xfId="1587" xr:uid="{00000000-0005-0000-0000-000033060000}"/>
    <cellStyle name="Normal 6 3 2 2 2" xfId="1588" xr:uid="{00000000-0005-0000-0000-000034060000}"/>
    <cellStyle name="Normal 6 3 2 2 2 2" xfId="1589" xr:uid="{00000000-0005-0000-0000-000035060000}"/>
    <cellStyle name="Normal 6 3 2 2 2 2 2" xfId="2806" xr:uid="{59975E3C-B56E-483C-A6DA-3666225BA0D2}"/>
    <cellStyle name="Normal 6 3 2 2 2 3" xfId="2805" xr:uid="{42417EE2-4405-4D87-98A1-46D2EF6EB597}"/>
    <cellStyle name="Normal 6 3 2 2 3" xfId="1590" xr:uid="{00000000-0005-0000-0000-000036060000}"/>
    <cellStyle name="Normal 6 3 2 2 3 2" xfId="2807" xr:uid="{3CC88D84-121C-4519-9D5E-308DF0B1A237}"/>
    <cellStyle name="Normal 6 3 2 2 4" xfId="2804" xr:uid="{3E4DAAA2-7C27-462A-8F89-2CE66D3C7E9F}"/>
    <cellStyle name="Normal 6 3 2 3" xfId="1591" xr:uid="{00000000-0005-0000-0000-000037060000}"/>
    <cellStyle name="Normal 6 3 2 3 2" xfId="1592" xr:uid="{00000000-0005-0000-0000-000038060000}"/>
    <cellStyle name="Normal 6 3 2 3 2 2" xfId="2809" xr:uid="{B63FDF96-80CB-4CAB-8E01-2FC0C2B36F43}"/>
    <cellStyle name="Normal 6 3 2 3 3" xfId="2808" xr:uid="{7612F6E3-7961-4ADA-9431-E0C978A18F68}"/>
    <cellStyle name="Normal 6 3 2 4" xfId="1593" xr:uid="{00000000-0005-0000-0000-000039060000}"/>
    <cellStyle name="Normal 6 3 2 4 2" xfId="1594" xr:uid="{00000000-0005-0000-0000-00003A060000}"/>
    <cellStyle name="Normal 6 3 2 4 2 2" xfId="2811" xr:uid="{40002198-20D5-45C0-9A9E-A2CB0E698F28}"/>
    <cellStyle name="Normal 6 3 2 4 3" xfId="2810" xr:uid="{733C2392-F066-441A-8463-ACBC037B333C}"/>
    <cellStyle name="Normal 6 3 2 5" xfId="1595" xr:uid="{00000000-0005-0000-0000-00003B060000}"/>
    <cellStyle name="Normal 6 3 2 5 2" xfId="2812" xr:uid="{36B29881-5C17-4A1A-98A4-0E05AAA93C44}"/>
    <cellStyle name="Normal 6 3 2 6" xfId="2803" xr:uid="{D9B7F3A4-57BD-4806-937E-8D7160B14CFA}"/>
    <cellStyle name="Normal 6 3 3" xfId="1596" xr:uid="{00000000-0005-0000-0000-00003C060000}"/>
    <cellStyle name="Normal 6 3 3 2" xfId="1597" xr:uid="{00000000-0005-0000-0000-00003D060000}"/>
    <cellStyle name="Normal 6 3 3 2 2" xfId="1598" xr:uid="{00000000-0005-0000-0000-00003E060000}"/>
    <cellStyle name="Normal 6 3 3 2 2 2" xfId="2815" xr:uid="{94F700BA-307A-4E26-B57A-BD53820F3492}"/>
    <cellStyle name="Normal 6 3 3 2 3" xfId="2814" xr:uid="{B94F2D64-AAF9-42B9-BD4D-58D4E72D2C03}"/>
    <cellStyle name="Normal 6 3 3 3" xfId="1599" xr:uid="{00000000-0005-0000-0000-00003F060000}"/>
    <cellStyle name="Normal 6 3 3 3 2" xfId="1600" xr:uid="{00000000-0005-0000-0000-000040060000}"/>
    <cellStyle name="Normal 6 3 3 3 2 2" xfId="2817" xr:uid="{CD758730-44CB-4986-8D1D-172D276B84A8}"/>
    <cellStyle name="Normal 6 3 3 3 3" xfId="2816" xr:uid="{7A716CC3-D687-46F9-B8A5-E1A7B3CE6A9D}"/>
    <cellStyle name="Normal 6 3 3 4" xfId="1601" xr:uid="{00000000-0005-0000-0000-000041060000}"/>
    <cellStyle name="Normal 6 3 3 4 2" xfId="2818" xr:uid="{862A20AD-7F50-47C7-B814-F9B54DD4289B}"/>
    <cellStyle name="Normal 6 3 3 5" xfId="2813" xr:uid="{0CA47580-490B-456D-929C-5CFF3477EE9C}"/>
    <cellStyle name="Normal 6 3 4" xfId="1602" xr:uid="{00000000-0005-0000-0000-000042060000}"/>
    <cellStyle name="Normal 6 4" xfId="1603" xr:uid="{00000000-0005-0000-0000-000043060000}"/>
    <cellStyle name="Normal 6 4 2" xfId="1604" xr:uid="{00000000-0005-0000-0000-000044060000}"/>
    <cellStyle name="Normal 6 4 2 2" xfId="2896" xr:uid="{BAE86417-8A4C-4859-B245-AF80606E41B8}"/>
    <cellStyle name="Normal 6 4 3" xfId="1605" xr:uid="{00000000-0005-0000-0000-000045060000}"/>
    <cellStyle name="Normal 6 5" xfId="1606" xr:uid="{00000000-0005-0000-0000-000046060000}"/>
    <cellStyle name="Normal 6 5 2" xfId="1607" xr:uid="{00000000-0005-0000-0000-000047060000}"/>
    <cellStyle name="Normal 6 6" xfId="1608" xr:uid="{00000000-0005-0000-0000-000048060000}"/>
    <cellStyle name="Normal 6 6 2" xfId="1609" xr:uid="{00000000-0005-0000-0000-000049060000}"/>
    <cellStyle name="Normal 6 6 2 2" xfId="1610" xr:uid="{00000000-0005-0000-0000-00004A060000}"/>
    <cellStyle name="Normal 6 6 2 2 2" xfId="1611" xr:uid="{00000000-0005-0000-0000-00004B060000}"/>
    <cellStyle name="Normal 6 6 2 2 2 2" xfId="2822" xr:uid="{B31C03C0-77FF-428B-BC3A-1595302A34F1}"/>
    <cellStyle name="Normal 6 6 2 2 3" xfId="2821" xr:uid="{ECCCEC5F-2E53-4B68-A263-76AF5134542D}"/>
    <cellStyle name="Normal 6 6 2 3" xfId="1612" xr:uid="{00000000-0005-0000-0000-00004C060000}"/>
    <cellStyle name="Normal 6 6 2 3 2" xfId="2823" xr:uid="{5A066DED-0838-402B-ACB6-DE6B38E51B91}"/>
    <cellStyle name="Normal 6 6 2 4" xfId="2820" xr:uid="{5788F868-8BC9-4AEA-B881-BC8FC4B46BBE}"/>
    <cellStyle name="Normal 6 6 3" xfId="1613" xr:uid="{00000000-0005-0000-0000-00004D060000}"/>
    <cellStyle name="Normal 6 6 3 2" xfId="1614" xr:uid="{00000000-0005-0000-0000-00004E060000}"/>
    <cellStyle name="Normal 6 6 3 2 2" xfId="1615" xr:uid="{00000000-0005-0000-0000-00004F060000}"/>
    <cellStyle name="Normal 6 6 3 2 2 2" xfId="2826" xr:uid="{64562293-6050-4E6E-88FA-980B140C9B72}"/>
    <cellStyle name="Normal 6 6 3 2 3" xfId="2825" xr:uid="{74B53331-002C-402C-86C8-DED69D9A85EF}"/>
    <cellStyle name="Normal 6 6 3 3" xfId="1616" xr:uid="{00000000-0005-0000-0000-000050060000}"/>
    <cellStyle name="Normal 6 6 3 3 2" xfId="2827" xr:uid="{9543E433-5AF2-4FFB-8408-0B768C4E2E46}"/>
    <cellStyle name="Normal 6 6 3 4" xfId="2824" xr:uid="{23CAD0F1-69C3-4F47-BF15-6C0B423658A1}"/>
    <cellStyle name="Normal 6 6 4" xfId="1617" xr:uid="{00000000-0005-0000-0000-000051060000}"/>
    <cellStyle name="Normal 6 6 4 2" xfId="1618" xr:uid="{00000000-0005-0000-0000-000052060000}"/>
    <cellStyle name="Normal 6 6 4 2 2" xfId="2829" xr:uid="{F0BA100A-F227-470C-B64C-1BA414174D86}"/>
    <cellStyle name="Normal 6 6 4 3" xfId="2828" xr:uid="{E4F709D0-F77B-49ED-BF01-217ACE6A1FFE}"/>
    <cellStyle name="Normal 6 6 5" xfId="1619" xr:uid="{00000000-0005-0000-0000-000053060000}"/>
    <cellStyle name="Normal 6 6 5 2" xfId="1620" xr:uid="{00000000-0005-0000-0000-000054060000}"/>
    <cellStyle name="Normal 6 6 5 2 2" xfId="2831" xr:uid="{3F7B5865-F343-41A5-920D-F91AD2F2E146}"/>
    <cellStyle name="Normal 6 6 5 3" xfId="2830" xr:uid="{BF7867D7-4077-48F5-B29C-6B79738E1C0C}"/>
    <cellStyle name="Normal 6 6 6" xfId="1621" xr:uid="{00000000-0005-0000-0000-000055060000}"/>
    <cellStyle name="Normal 6 6 6 2" xfId="2832" xr:uid="{47A8BD91-7590-49F0-A9E6-ABB356BD3E8F}"/>
    <cellStyle name="Normal 6 6 7" xfId="2819" xr:uid="{9AE81B24-FC68-45CF-8B4A-577CEB06EBF5}"/>
    <cellStyle name="Normal 6 7" xfId="1622" xr:uid="{00000000-0005-0000-0000-000056060000}"/>
    <cellStyle name="Normal 6 7 2" xfId="1623" xr:uid="{00000000-0005-0000-0000-000057060000}"/>
    <cellStyle name="Normal 6 7 2 2" xfId="1624" xr:uid="{00000000-0005-0000-0000-000058060000}"/>
    <cellStyle name="Normal 6 7 2 2 2" xfId="1625" xr:uid="{00000000-0005-0000-0000-000059060000}"/>
    <cellStyle name="Normal 6 7 2 2 2 2" xfId="2836" xr:uid="{21566EE3-A097-413C-82E2-9202FC246952}"/>
    <cellStyle name="Normal 6 7 2 2 3" xfId="2835" xr:uid="{C9202CE3-1E4C-4512-8066-4302CE0E3893}"/>
    <cellStyle name="Normal 6 7 2 3" xfId="1626" xr:uid="{00000000-0005-0000-0000-00005A060000}"/>
    <cellStyle name="Normal 6 7 2 3 2" xfId="2837" xr:uid="{112A6817-CE8C-4C1A-B5F4-612F4A2759AB}"/>
    <cellStyle name="Normal 6 7 2 4" xfId="2834" xr:uid="{7CCB03A0-856D-4565-AD34-3A3CF0801172}"/>
    <cellStyle name="Normal 6 7 3" xfId="1627" xr:uid="{00000000-0005-0000-0000-00005B060000}"/>
    <cellStyle name="Normal 6 7 3 2" xfId="1628" xr:uid="{00000000-0005-0000-0000-00005C060000}"/>
    <cellStyle name="Normal 6 7 3 2 2" xfId="2839" xr:uid="{363FE647-ECCB-440A-9A4B-3AB3E39E9CA2}"/>
    <cellStyle name="Normal 6 7 3 3" xfId="2838" xr:uid="{C65869D1-DDDE-4890-9F29-F67FB362B744}"/>
    <cellStyle name="Normal 6 7 4" xfId="1629" xr:uid="{00000000-0005-0000-0000-00005D060000}"/>
    <cellStyle name="Normal 6 7 4 2" xfId="1630" xr:uid="{00000000-0005-0000-0000-00005E060000}"/>
    <cellStyle name="Normal 6 7 4 2 2" xfId="2841" xr:uid="{39246F7B-9B03-46C0-813D-7665B59AAD0C}"/>
    <cellStyle name="Normal 6 7 4 3" xfId="2840" xr:uid="{6043DAC1-08B7-4C96-B4CC-3E7B5760E2FA}"/>
    <cellStyle name="Normal 6 7 5" xfId="1631" xr:uid="{00000000-0005-0000-0000-00005F060000}"/>
    <cellStyle name="Normal 6 7 5 2" xfId="2842" xr:uid="{5614DAFD-4F9B-457E-A304-3AD358FEFE5F}"/>
    <cellStyle name="Normal 6 7 6" xfId="2833" xr:uid="{D2AFC8AA-6E3D-4967-8208-F2E529162B04}"/>
    <cellStyle name="Normal 6 8" xfId="1632" xr:uid="{00000000-0005-0000-0000-000060060000}"/>
    <cellStyle name="Normal 6 8 2" xfId="1633" xr:uid="{00000000-0005-0000-0000-000061060000}"/>
    <cellStyle name="Normal 6 8 2 2" xfId="1634" xr:uid="{00000000-0005-0000-0000-000062060000}"/>
    <cellStyle name="Normal 6 8 2 2 2" xfId="2845" xr:uid="{31518301-1FA4-4BE7-B2AE-AB21D7E25655}"/>
    <cellStyle name="Normal 6 8 2 3" xfId="2844" xr:uid="{C148469B-6208-493A-9A4E-D5048D64C7F5}"/>
    <cellStyle name="Normal 6 8 3" xfId="1635" xr:uid="{00000000-0005-0000-0000-000063060000}"/>
    <cellStyle name="Normal 6 8 3 2" xfId="1636" xr:uid="{00000000-0005-0000-0000-000064060000}"/>
    <cellStyle name="Normal 6 8 3 2 2" xfId="2847" xr:uid="{4B15D188-02D6-4169-812D-958A1D838455}"/>
    <cellStyle name="Normal 6 8 3 3" xfId="2846" xr:uid="{5D1C0195-EA36-488D-BAC1-E9D1FA8C37BB}"/>
    <cellStyle name="Normal 6 8 4" xfId="1637" xr:uid="{00000000-0005-0000-0000-000065060000}"/>
    <cellStyle name="Normal 6 8 4 2" xfId="2848" xr:uid="{3F90B444-0C7B-4823-AC0E-23EBDAA2BADB}"/>
    <cellStyle name="Normal 6 8 5" xfId="2843" xr:uid="{C2323D53-F9AA-409C-B128-F407C7409132}"/>
    <cellStyle name="Normal 6 9" xfId="1638" xr:uid="{00000000-0005-0000-0000-000066060000}"/>
    <cellStyle name="Normal 7" xfId="1639" xr:uid="{00000000-0005-0000-0000-000067060000}"/>
    <cellStyle name="Normal 7 2" xfId="1640" xr:uid="{00000000-0005-0000-0000-000068060000}"/>
    <cellStyle name="Normal 7 2 2" xfId="1641" xr:uid="{00000000-0005-0000-0000-000069060000}"/>
    <cellStyle name="Normal 7 2 2 2" xfId="1642" xr:uid="{00000000-0005-0000-0000-00006A060000}"/>
    <cellStyle name="Normal 7 2 2 2 2" xfId="2901" xr:uid="{DD0BCCC7-575A-450B-9A49-51EE9A24A4CF}"/>
    <cellStyle name="Normal 7 2 3" xfId="1643" xr:uid="{00000000-0005-0000-0000-00006B060000}"/>
    <cellStyle name="Normal 7 2 3 2" xfId="2889" xr:uid="{E03902CC-76B9-48AD-A63A-E00568F8C402}"/>
    <cellStyle name="Normal 7 2 4" xfId="1984" xr:uid="{3FF84EAF-4867-4BD7-9BE6-D8D5C73F800E}"/>
    <cellStyle name="Normal 7 2 5" xfId="2922" xr:uid="{EB95464F-3435-4BF9-9C9B-FFC128FBEDD0}"/>
    <cellStyle name="Normal 7 2 6" xfId="2943" xr:uid="{C7349A81-99E3-42F4-825E-F40280D79712}"/>
    <cellStyle name="Normal 7 3" xfId="1644" xr:uid="{00000000-0005-0000-0000-00006C060000}"/>
    <cellStyle name="Normal 7 3 2" xfId="1645" xr:uid="{00000000-0005-0000-0000-00006D060000}"/>
    <cellStyle name="Normal 7 3 3" xfId="1646" xr:uid="{00000000-0005-0000-0000-00006E060000}"/>
    <cellStyle name="Normal 7 4" xfId="1647" xr:uid="{00000000-0005-0000-0000-00006F060000}"/>
    <cellStyle name="Normal 7 5" xfId="1648" xr:uid="{00000000-0005-0000-0000-000070060000}"/>
    <cellStyle name="Normal 7 6" xfId="1649" xr:uid="{00000000-0005-0000-0000-000071060000}"/>
    <cellStyle name="Normal 7 6 2" xfId="1650" xr:uid="{00000000-0005-0000-0000-000072060000}"/>
    <cellStyle name="Normal 7 7" xfId="1651" xr:uid="{00000000-0005-0000-0000-000073060000}"/>
    <cellStyle name="Normal 7 8" xfId="1652" xr:uid="{00000000-0005-0000-0000-000074060000}"/>
    <cellStyle name="Normal 7 8 2" xfId="2881" xr:uid="{004477C0-9668-4448-8527-CB5A6CDBEC1F}"/>
    <cellStyle name="Normal 7 9" xfId="1983" xr:uid="{A398B9C0-476C-4D54-B6CD-50961CD28AB9}"/>
    <cellStyle name="Normal 8" xfId="1653" xr:uid="{00000000-0005-0000-0000-000075060000}"/>
    <cellStyle name="Normal 8 2" xfId="1654" xr:uid="{00000000-0005-0000-0000-000076060000}"/>
    <cellStyle name="Normal 8 2 2" xfId="1655" xr:uid="{00000000-0005-0000-0000-000077060000}"/>
    <cellStyle name="Normal 8 2 3" xfId="1656" xr:uid="{00000000-0005-0000-0000-000078060000}"/>
    <cellStyle name="Normal 8 2 3 2" xfId="2891" xr:uid="{C2950309-E3F3-486D-8F57-B0ED2CD2F2DF}"/>
    <cellStyle name="Normal 8 3" xfId="1657" xr:uid="{00000000-0005-0000-0000-000079060000}"/>
    <cellStyle name="Normal 8 3 2" xfId="1658" xr:uid="{00000000-0005-0000-0000-00007A060000}"/>
    <cellStyle name="Normal 8 3 3" xfId="1659" xr:uid="{00000000-0005-0000-0000-00007B060000}"/>
    <cellStyle name="Normal 8 3 3 2" xfId="2903" xr:uid="{35A187FF-2BB9-48C2-9DA2-6FD72B17093B}"/>
    <cellStyle name="Normal 8 4" xfId="1660" xr:uid="{00000000-0005-0000-0000-00007C060000}"/>
    <cellStyle name="Normal 8 5" xfId="1661" xr:uid="{00000000-0005-0000-0000-00007D060000}"/>
    <cellStyle name="Normal 8 5 2" xfId="2882" xr:uid="{431EC828-3EF1-439F-98F2-7AF5FC351129}"/>
    <cellStyle name="Normal 8 6" xfId="1985" xr:uid="{4139FE1F-635C-4ABE-845B-654732245419}"/>
    <cellStyle name="Normal 8 7" xfId="2924" xr:uid="{A2DADADF-05F7-4657-A950-2F560DEEAD15}"/>
    <cellStyle name="Normal 8 8" xfId="2945" xr:uid="{7CD1C309-B045-4548-8D7D-E7E319D3B7C3}"/>
    <cellStyle name="Normal 9" xfId="1662" xr:uid="{00000000-0005-0000-0000-00007E060000}"/>
    <cellStyle name="Normal 9 2" xfId="1663" xr:uid="{00000000-0005-0000-0000-00007F060000}"/>
    <cellStyle name="Normal 9 2 2" xfId="1664" xr:uid="{00000000-0005-0000-0000-000080060000}"/>
    <cellStyle name="Normal 9 2 3" xfId="1665" xr:uid="{00000000-0005-0000-0000-000081060000}"/>
    <cellStyle name="Normal 9 2 3 2" xfId="2904" xr:uid="{0D91DDB8-D35D-4678-AACA-F40D2E1A025B}"/>
    <cellStyle name="Normal 9 3" xfId="1666" xr:uid="{00000000-0005-0000-0000-000082060000}"/>
    <cellStyle name="Normal 9 4" xfId="1667" xr:uid="{00000000-0005-0000-0000-000083060000}"/>
    <cellStyle name="Normal 9 5" xfId="1668" xr:uid="{00000000-0005-0000-0000-000084060000}"/>
    <cellStyle name="Normal 9 5 2" xfId="2892" xr:uid="{5216F1A8-76B1-4DF1-8AF5-AFA41FDCAA6C}"/>
    <cellStyle name="Normal 9 6" xfId="1986" xr:uid="{AAB65A86-A350-4A65-AF49-6D1C6DA7885E}"/>
    <cellStyle name="Normal 9 7" xfId="2926" xr:uid="{1CE3BE44-011B-4545-BB0C-F128FEC2259A}"/>
    <cellStyle name="Normal 9 8" xfId="2947" xr:uid="{DA34AB2F-A9FD-43C4-BEDD-41FED28D9FAA}"/>
    <cellStyle name="Normal_Everett Clinic 1998 Audit" xfId="1669" xr:uid="{00000000-0005-0000-0000-000085060000}"/>
    <cellStyle name="NormalCover" xfId="1670" xr:uid="{00000000-0005-0000-0000-000086060000}"/>
    <cellStyle name="Note 2" xfId="1671" xr:uid="{00000000-0005-0000-0000-000087060000}"/>
    <cellStyle name="Note 2 2" xfId="1672" xr:uid="{00000000-0005-0000-0000-000088060000}"/>
    <cellStyle name="Note 2 2 2" xfId="1673" xr:uid="{00000000-0005-0000-0000-000089060000}"/>
    <cellStyle name="Note 2 2 3" xfId="1674" xr:uid="{00000000-0005-0000-0000-00008A060000}"/>
    <cellStyle name="Note 2 2 3 2" xfId="2851" xr:uid="{883A1CD7-353A-4913-80DD-85AC856F1D64}"/>
    <cellStyle name="Note 2 2 4" xfId="1675" xr:uid="{00000000-0005-0000-0000-00008B060000}"/>
    <cellStyle name="Note 2 2 4 2" xfId="2852" xr:uid="{B51EC801-AE68-479A-BF52-BD9B62E92748}"/>
    <cellStyle name="Note 2 2 5" xfId="2850" xr:uid="{83F9189B-3A81-41B3-ACB8-8650337D6AE2}"/>
    <cellStyle name="Note 2 3" xfId="1676" xr:uid="{00000000-0005-0000-0000-00008C060000}"/>
    <cellStyle name="Note 2 4" xfId="1677" xr:uid="{00000000-0005-0000-0000-00008D060000}"/>
    <cellStyle name="Note 2 5" xfId="1678" xr:uid="{00000000-0005-0000-0000-00008E060000}"/>
    <cellStyle name="Note 2 6" xfId="1679" xr:uid="{00000000-0005-0000-0000-00008F060000}"/>
    <cellStyle name="Note 2 6 2" xfId="2853" xr:uid="{BD5AB561-5D91-4F17-AF62-3D329179844B}"/>
    <cellStyle name="Note 2 7" xfId="1680" xr:uid="{00000000-0005-0000-0000-000090060000}"/>
    <cellStyle name="Note 2 7 2" xfId="2854" xr:uid="{A4261D3B-1DCA-4D05-935B-E85302BC965C}"/>
    <cellStyle name="Note 2 8" xfId="2849" xr:uid="{1AFB4125-B19E-4673-8AA6-9E8D902F414C}"/>
    <cellStyle name="NoteFundName" xfId="1681" xr:uid="{00000000-0005-0000-0000-000091060000}"/>
    <cellStyle name="NoteHeader" xfId="1682" xr:uid="{00000000-0005-0000-0000-000092060000}"/>
    <cellStyle name="NoteSubHeader" xfId="1683" xr:uid="{00000000-0005-0000-0000-000093060000}"/>
    <cellStyle name="Output" xfId="1684" builtinId="21" customBuiltin="1"/>
    <cellStyle name="Output 2" xfId="1685" xr:uid="{00000000-0005-0000-0000-000095060000}"/>
    <cellStyle name="Output 2 2" xfId="1686" xr:uid="{00000000-0005-0000-0000-000096060000}"/>
    <cellStyle name="Output 2 3" xfId="1687" xr:uid="{00000000-0005-0000-0000-000097060000}"/>
    <cellStyle name="Output 2 4" xfId="1688" xr:uid="{00000000-0005-0000-0000-000098060000}"/>
    <cellStyle name="Percent" xfId="1689" builtinId="5"/>
    <cellStyle name="Percent #" xfId="1690" xr:uid="{00000000-0005-0000-0000-00009A060000}"/>
    <cellStyle name="Percent %" xfId="1691" xr:uid="{00000000-0005-0000-0000-00009B060000}"/>
    <cellStyle name="Percent % 2" xfId="1692" xr:uid="{00000000-0005-0000-0000-00009C060000}"/>
    <cellStyle name="Percent % 3" xfId="1693" xr:uid="{00000000-0005-0000-0000-00009D060000}"/>
    <cellStyle name="Percent % Long Underline" xfId="1694" xr:uid="{00000000-0005-0000-0000-00009E060000}"/>
    <cellStyle name="Percent (%)" xfId="1695" xr:uid="{00000000-0005-0000-0000-00009F060000}"/>
    <cellStyle name="Percent 0.0%" xfId="1696" xr:uid="{00000000-0005-0000-0000-0000A0060000}"/>
    <cellStyle name="Percent 10" xfId="1697" xr:uid="{00000000-0005-0000-0000-0000A1060000}"/>
    <cellStyle name="Percent 10 2" xfId="1698" xr:uid="{00000000-0005-0000-0000-0000A2060000}"/>
    <cellStyle name="Percent 10 3" xfId="1699" xr:uid="{00000000-0005-0000-0000-0000A3060000}"/>
    <cellStyle name="Percent 10 3 2" xfId="1700" xr:uid="{00000000-0005-0000-0000-0000A4060000}"/>
    <cellStyle name="Percent 11" xfId="1701" xr:uid="{00000000-0005-0000-0000-0000A5060000}"/>
    <cellStyle name="Percent 11 2" xfId="1702" xr:uid="{00000000-0005-0000-0000-0000A6060000}"/>
    <cellStyle name="Percent 11 3" xfId="1703" xr:uid="{00000000-0005-0000-0000-0000A7060000}"/>
    <cellStyle name="Percent 11 3 2" xfId="1704" xr:uid="{00000000-0005-0000-0000-0000A8060000}"/>
    <cellStyle name="Percent 12" xfId="1705" xr:uid="{00000000-0005-0000-0000-0000A9060000}"/>
    <cellStyle name="Percent 12 2" xfId="1706" xr:uid="{00000000-0005-0000-0000-0000AA060000}"/>
    <cellStyle name="Percent 12 3" xfId="1707" xr:uid="{00000000-0005-0000-0000-0000AB060000}"/>
    <cellStyle name="Percent 12 3 2" xfId="1708" xr:uid="{00000000-0005-0000-0000-0000AC060000}"/>
    <cellStyle name="Percent 13" xfId="1709" xr:uid="{00000000-0005-0000-0000-0000AD060000}"/>
    <cellStyle name="Percent 13 2" xfId="1710" xr:uid="{00000000-0005-0000-0000-0000AE060000}"/>
    <cellStyle name="Percent 13 3" xfId="1711" xr:uid="{00000000-0005-0000-0000-0000AF060000}"/>
    <cellStyle name="Percent 13 3 2" xfId="1712" xr:uid="{00000000-0005-0000-0000-0000B0060000}"/>
    <cellStyle name="Percent 14" xfId="1713" xr:uid="{00000000-0005-0000-0000-0000B1060000}"/>
    <cellStyle name="Percent 14 2" xfId="1714" xr:uid="{00000000-0005-0000-0000-0000B2060000}"/>
    <cellStyle name="Percent 14 3" xfId="1715" xr:uid="{00000000-0005-0000-0000-0000B3060000}"/>
    <cellStyle name="Percent 14 3 2" xfId="1716" xr:uid="{00000000-0005-0000-0000-0000B4060000}"/>
    <cellStyle name="Percent 15" xfId="1717" xr:uid="{00000000-0005-0000-0000-0000B5060000}"/>
    <cellStyle name="Percent 15 2" xfId="1718" xr:uid="{00000000-0005-0000-0000-0000B6060000}"/>
    <cellStyle name="Percent 15 3" xfId="1719" xr:uid="{00000000-0005-0000-0000-0000B7060000}"/>
    <cellStyle name="Percent 15 3 2" xfId="1720" xr:uid="{00000000-0005-0000-0000-0000B8060000}"/>
    <cellStyle name="Percent 16" xfId="1721" xr:uid="{00000000-0005-0000-0000-0000B9060000}"/>
    <cellStyle name="Percent 16 2" xfId="1722" xr:uid="{00000000-0005-0000-0000-0000BA060000}"/>
    <cellStyle name="Percent 16 2 2" xfId="1723" xr:uid="{00000000-0005-0000-0000-0000BB060000}"/>
    <cellStyle name="Percent 16 2 2 2" xfId="1724" xr:uid="{00000000-0005-0000-0000-0000BC060000}"/>
    <cellStyle name="Percent 16 2 2 2 2" xfId="2856" xr:uid="{E298CC12-B335-4517-969A-8980AA9906C7}"/>
    <cellStyle name="Percent 16 2 2 3" xfId="2855" xr:uid="{F0A202CB-DFF0-41E3-87B6-C1D79A80C83E}"/>
    <cellStyle name="Percent 16 3" xfId="1725" xr:uid="{00000000-0005-0000-0000-0000BD060000}"/>
    <cellStyle name="Percent 16 3 2" xfId="1726" xr:uid="{00000000-0005-0000-0000-0000BE060000}"/>
    <cellStyle name="Percent 16 3 2 2" xfId="2858" xr:uid="{81EDDAB9-98D5-4496-B62E-E64D7BE35F0B}"/>
    <cellStyle name="Percent 16 3 3" xfId="2857" xr:uid="{A2241403-4328-4B91-89A3-C6DDF3B330BE}"/>
    <cellStyle name="Percent 17" xfId="1727" xr:uid="{00000000-0005-0000-0000-0000BF060000}"/>
    <cellStyle name="Percent 17 2" xfId="1728" xr:uid="{00000000-0005-0000-0000-0000C0060000}"/>
    <cellStyle name="Percent 17 2 2" xfId="1729" xr:uid="{00000000-0005-0000-0000-0000C1060000}"/>
    <cellStyle name="Percent 17 2 2 2" xfId="1730" xr:uid="{00000000-0005-0000-0000-0000C2060000}"/>
    <cellStyle name="Percent 17 2 2 2 2" xfId="2860" xr:uid="{91F26F67-7FCA-4FD7-8C7B-80DD8ED3F77C}"/>
    <cellStyle name="Percent 17 2 2 3" xfId="2859" xr:uid="{8FDA8047-A6E0-4EDD-B5B3-8C345197556A}"/>
    <cellStyle name="Percent 17 3" xfId="1731" xr:uid="{00000000-0005-0000-0000-0000C3060000}"/>
    <cellStyle name="Percent 17 3 2" xfId="1732" xr:uid="{00000000-0005-0000-0000-0000C4060000}"/>
    <cellStyle name="Percent 17 3 2 2" xfId="2862" xr:uid="{4D46F089-78AD-4C6C-99D5-D970E22AC6C7}"/>
    <cellStyle name="Percent 17 3 3" xfId="2861" xr:uid="{426FD346-8E16-4E0E-B5A1-D6FAE363787F}"/>
    <cellStyle name="Percent 18" xfId="1733" xr:uid="{00000000-0005-0000-0000-0000C5060000}"/>
    <cellStyle name="Percent 18 2" xfId="1734" xr:uid="{00000000-0005-0000-0000-0000C6060000}"/>
    <cellStyle name="Percent 18 2 2" xfId="1735" xr:uid="{00000000-0005-0000-0000-0000C7060000}"/>
    <cellStyle name="Percent 18 2 2 2" xfId="1736" xr:uid="{00000000-0005-0000-0000-0000C8060000}"/>
    <cellStyle name="Percent 18 2 2 2 2" xfId="2864" xr:uid="{81A17097-B361-46F1-A7DB-C5744AAB5F20}"/>
    <cellStyle name="Percent 18 2 2 3" xfId="2863" xr:uid="{253D792F-1298-4496-B406-B9264CC78366}"/>
    <cellStyle name="Percent 18 3" xfId="1737" xr:uid="{00000000-0005-0000-0000-0000C9060000}"/>
    <cellStyle name="Percent 18 3 2" xfId="1738" xr:uid="{00000000-0005-0000-0000-0000CA060000}"/>
    <cellStyle name="Percent 18 3 2 2" xfId="2866" xr:uid="{EA5369A1-820F-4F5C-B570-07ECC782CEC1}"/>
    <cellStyle name="Percent 18 3 3" xfId="2865" xr:uid="{4B97CAC1-2340-4713-9099-C72D34E7A6DA}"/>
    <cellStyle name="Percent 19" xfId="1739" xr:uid="{00000000-0005-0000-0000-0000CB060000}"/>
    <cellStyle name="Percent 19 2" xfId="1740" xr:uid="{00000000-0005-0000-0000-0000CC060000}"/>
    <cellStyle name="Percent 19 2 2" xfId="1741" xr:uid="{00000000-0005-0000-0000-0000CD060000}"/>
    <cellStyle name="Percent 19 2 2 2" xfId="2868" xr:uid="{6A50361D-D13E-490A-B675-17843EACBDA7}"/>
    <cellStyle name="Percent 19 2 3" xfId="2867" xr:uid="{2C445DC0-BC13-434D-BE53-2FD79AA8FC8C}"/>
    <cellStyle name="Percent 19 3" xfId="1742" xr:uid="{00000000-0005-0000-0000-0000CE060000}"/>
    <cellStyle name="Percent 19 3 2" xfId="1743" xr:uid="{00000000-0005-0000-0000-0000CF060000}"/>
    <cellStyle name="Percent 19 3 2 2" xfId="2870" xr:uid="{6B4CDBBF-992A-4DEF-B4A9-3C070DCA1E2F}"/>
    <cellStyle name="Percent 19 3 3" xfId="2869" xr:uid="{1EE555B3-88C7-41B1-8168-5CF3866CBB6E}"/>
    <cellStyle name="Percent 2" xfId="1744" xr:uid="{00000000-0005-0000-0000-0000D0060000}"/>
    <cellStyle name="Percent 2 10" xfId="1745" xr:uid="{00000000-0005-0000-0000-0000D1060000}"/>
    <cellStyle name="Percent 2 10 2" xfId="1746" xr:uid="{00000000-0005-0000-0000-0000D2060000}"/>
    <cellStyle name="Percent 2 11" xfId="1747" xr:uid="{00000000-0005-0000-0000-0000D3060000}"/>
    <cellStyle name="Percent 2 12" xfId="1928" xr:uid="{BC212DE4-23A1-48E6-8CDC-CA676BA59EE6}"/>
    <cellStyle name="Percent 2 12 2" xfId="1987" xr:uid="{710D8F12-2DF4-4AB6-AD60-E9D4D792B79D}"/>
    <cellStyle name="Percent 2 13" xfId="1940" xr:uid="{E3EC141D-E645-4F3E-9FD7-E9A5296E71E4}"/>
    <cellStyle name="Percent 2 2" xfId="1748" xr:uid="{00000000-0005-0000-0000-0000D4060000}"/>
    <cellStyle name="Percent 2 2 2" xfId="1749" xr:uid="{00000000-0005-0000-0000-0000D5060000}"/>
    <cellStyle name="Percent 2 2 2 2" xfId="1750" xr:uid="{00000000-0005-0000-0000-0000D6060000}"/>
    <cellStyle name="Percent 2 2 3" xfId="1751" xr:uid="{00000000-0005-0000-0000-0000D7060000}"/>
    <cellStyle name="Percent 2 2 3 2" xfId="1752" xr:uid="{00000000-0005-0000-0000-0000D8060000}"/>
    <cellStyle name="Percent 2 2 4" xfId="1753" xr:uid="{00000000-0005-0000-0000-0000D9060000}"/>
    <cellStyle name="Percent 2 2 4 2" xfId="1754" xr:uid="{00000000-0005-0000-0000-0000DA060000}"/>
    <cellStyle name="Percent 2 2 5" xfId="1929" xr:uid="{7076E454-B1B8-43BB-B5DE-1E727FF1ECC4}"/>
    <cellStyle name="Percent 2 3" xfId="1755" xr:uid="{00000000-0005-0000-0000-0000DB060000}"/>
    <cellStyle name="Percent 2 3 2" xfId="1756" xr:uid="{00000000-0005-0000-0000-0000DC060000}"/>
    <cellStyle name="Percent 2 3 3" xfId="1757" xr:uid="{00000000-0005-0000-0000-0000DD060000}"/>
    <cellStyle name="Percent 2 3 4" xfId="1930" xr:uid="{A10D63A7-4BA6-402E-832C-ED83DA3867D8}"/>
    <cellStyle name="Percent 2 4" xfId="1758" xr:uid="{00000000-0005-0000-0000-0000DE060000}"/>
    <cellStyle name="Percent 2 4 2" xfId="1759" xr:uid="{00000000-0005-0000-0000-0000DF060000}"/>
    <cellStyle name="Percent 2 5" xfId="1760" xr:uid="{00000000-0005-0000-0000-0000E0060000}"/>
    <cellStyle name="Percent 2 5 2" xfId="1761" xr:uid="{00000000-0005-0000-0000-0000E1060000}"/>
    <cellStyle name="Percent 2 6" xfId="1762" xr:uid="{00000000-0005-0000-0000-0000E2060000}"/>
    <cellStyle name="Percent 2 6 2" xfId="1763" xr:uid="{00000000-0005-0000-0000-0000E3060000}"/>
    <cellStyle name="Percent 2 7" xfId="1764" xr:uid="{00000000-0005-0000-0000-0000E4060000}"/>
    <cellStyle name="Percent 2 8" xfId="1765" xr:uid="{00000000-0005-0000-0000-0000E5060000}"/>
    <cellStyle name="Percent 2 8 2" xfId="1766" xr:uid="{00000000-0005-0000-0000-0000E6060000}"/>
    <cellStyle name="Percent 2 9" xfId="1767" xr:uid="{00000000-0005-0000-0000-0000E7060000}"/>
    <cellStyle name="Percent 2 9 2" xfId="1768" xr:uid="{00000000-0005-0000-0000-0000E8060000}"/>
    <cellStyle name="Percent 20" xfId="1769" xr:uid="{00000000-0005-0000-0000-0000E9060000}"/>
    <cellStyle name="Percent 20 2" xfId="1770" xr:uid="{00000000-0005-0000-0000-0000EA060000}"/>
    <cellStyle name="Percent 20 2 2" xfId="1771" xr:uid="{00000000-0005-0000-0000-0000EB060000}"/>
    <cellStyle name="Percent 20 2 2 2" xfId="2872" xr:uid="{E741627A-4905-4D2D-876D-24419FC51832}"/>
    <cellStyle name="Percent 20 2 3" xfId="2871" xr:uid="{66EE2CCC-57F8-4DDA-87B7-EA814AE6B4D6}"/>
    <cellStyle name="Percent 20 3" xfId="1772" xr:uid="{00000000-0005-0000-0000-0000EC060000}"/>
    <cellStyle name="Percent 20 3 2" xfId="1773" xr:uid="{00000000-0005-0000-0000-0000ED060000}"/>
    <cellStyle name="Percent 20 3 2 2" xfId="2874" xr:uid="{21125C7B-99BA-4AC9-87AA-DDD583F51886}"/>
    <cellStyle name="Percent 20 3 3" xfId="2873" xr:uid="{49A7C279-EB15-4548-8978-D887DB67357D}"/>
    <cellStyle name="Percent 21" xfId="1774" xr:uid="{00000000-0005-0000-0000-0000EE060000}"/>
    <cellStyle name="Percent 21 2" xfId="1775" xr:uid="{00000000-0005-0000-0000-0000EF060000}"/>
    <cellStyle name="Percent 21 2 2" xfId="1776" xr:uid="{00000000-0005-0000-0000-0000F0060000}"/>
    <cellStyle name="Percent 22" xfId="1777" xr:uid="{00000000-0005-0000-0000-0000F1060000}"/>
    <cellStyle name="Percent 22 2" xfId="1778" xr:uid="{00000000-0005-0000-0000-0000F2060000}"/>
    <cellStyle name="Percent 22 2 2" xfId="1779" xr:uid="{00000000-0005-0000-0000-0000F3060000}"/>
    <cellStyle name="Percent 22 2 2 2" xfId="2877" xr:uid="{C264E98D-8DBC-4A5D-AB23-F817A9FC8140}"/>
    <cellStyle name="Percent 22 2 3" xfId="1780" xr:uid="{00000000-0005-0000-0000-0000F4060000}"/>
    <cellStyle name="Percent 22 2 3 2" xfId="2878" xr:uid="{ABEC26DD-A93B-493A-92BE-EB54B4A3332F}"/>
    <cellStyle name="Percent 22 2 4" xfId="2876" xr:uid="{2D25F55D-80F2-4858-8651-E3D1EDE5766A}"/>
    <cellStyle name="Percent 22 3" xfId="1781" xr:uid="{00000000-0005-0000-0000-0000F5060000}"/>
    <cellStyle name="Percent 22 3 2" xfId="2879" xr:uid="{DA3B1E63-5681-497E-A5C5-CC37BFE2B10A}"/>
    <cellStyle name="Percent 22 4" xfId="1782" xr:uid="{00000000-0005-0000-0000-0000F6060000}"/>
    <cellStyle name="Percent 22 4 2" xfId="2880" xr:uid="{53B1B36A-BEE4-44E2-BB84-1F1CF472C614}"/>
    <cellStyle name="Percent 22 5" xfId="2875" xr:uid="{7D737E45-7DF0-4721-97E0-A608414F2F69}"/>
    <cellStyle name="Percent 23" xfId="1783" xr:uid="{00000000-0005-0000-0000-0000F7060000}"/>
    <cellStyle name="Percent 24" xfId="1784" xr:uid="{00000000-0005-0000-0000-0000F8060000}"/>
    <cellStyle name="Percent 25" xfId="1785" xr:uid="{00000000-0005-0000-0000-0000F9060000}"/>
    <cellStyle name="Percent 26" xfId="1786" xr:uid="{00000000-0005-0000-0000-0000FA060000}"/>
    <cellStyle name="Percent 27" xfId="1787" xr:uid="{00000000-0005-0000-0000-0000FB060000}"/>
    <cellStyle name="Percent 28" xfId="1788" xr:uid="{00000000-0005-0000-0000-0000FC060000}"/>
    <cellStyle name="Percent 29" xfId="1789" xr:uid="{00000000-0005-0000-0000-0000FD060000}"/>
    <cellStyle name="Percent 3" xfId="1790" xr:uid="{00000000-0005-0000-0000-0000FE060000}"/>
    <cellStyle name="Percent 3 2" xfId="1791" xr:uid="{00000000-0005-0000-0000-0000FF060000}"/>
    <cellStyle name="Percent 3 2 2" xfId="1792" xr:uid="{00000000-0005-0000-0000-000000070000}"/>
    <cellStyle name="Percent 3 2 2 2" xfId="1793" xr:uid="{00000000-0005-0000-0000-000001070000}"/>
    <cellStyle name="Percent 3 3" xfId="1794" xr:uid="{00000000-0005-0000-0000-000002070000}"/>
    <cellStyle name="Percent 3 3 2" xfId="1795" xr:uid="{00000000-0005-0000-0000-000003070000}"/>
    <cellStyle name="Percent 3 3 3" xfId="1796" xr:uid="{00000000-0005-0000-0000-000004070000}"/>
    <cellStyle name="Percent 3 3 3 2" xfId="1797" xr:uid="{00000000-0005-0000-0000-000005070000}"/>
    <cellStyle name="Percent 3 4" xfId="1798" xr:uid="{00000000-0005-0000-0000-000006070000}"/>
    <cellStyle name="Percent 3 4 2" xfId="1799" xr:uid="{00000000-0005-0000-0000-000007070000}"/>
    <cellStyle name="Percent 3 5" xfId="1800" xr:uid="{00000000-0005-0000-0000-000008070000}"/>
    <cellStyle name="Percent 30" xfId="1801" xr:uid="{00000000-0005-0000-0000-000009070000}"/>
    <cellStyle name="Percent 31" xfId="1917" xr:uid="{5C5B632A-D04B-4373-838D-8DBA2998D5EF}"/>
    <cellStyle name="Percent 32" xfId="1921" xr:uid="{EF4C8B52-6E5F-4057-9A7F-F2E78C30BADD}"/>
    <cellStyle name="Percent 33" xfId="1932" xr:uid="{D2459811-774D-43EA-AB14-028D4EF2ADAD}"/>
    <cellStyle name="Percent 4" xfId="1802" xr:uid="{00000000-0005-0000-0000-00000A070000}"/>
    <cellStyle name="Percent 4 2" xfId="1803" xr:uid="{00000000-0005-0000-0000-00000B070000}"/>
    <cellStyle name="Percent 4 3" xfId="1804" xr:uid="{00000000-0005-0000-0000-00000C070000}"/>
    <cellStyle name="Percent 4 4" xfId="1805" xr:uid="{00000000-0005-0000-0000-00000D070000}"/>
    <cellStyle name="Percent 4 4 2" xfId="1806" xr:uid="{00000000-0005-0000-0000-00000E070000}"/>
    <cellStyle name="Percent 5" xfId="1807" xr:uid="{00000000-0005-0000-0000-00000F070000}"/>
    <cellStyle name="Percent 5 2" xfId="1808" xr:uid="{00000000-0005-0000-0000-000010070000}"/>
    <cellStyle name="Percent 5 2 2" xfId="1809" xr:uid="{00000000-0005-0000-0000-000011070000}"/>
    <cellStyle name="Percent 5 2 2 2" xfId="1810" xr:uid="{00000000-0005-0000-0000-000012070000}"/>
    <cellStyle name="Percent 5 3" xfId="1811" xr:uid="{00000000-0005-0000-0000-000013070000}"/>
    <cellStyle name="Percent 5 3 2" xfId="1812" xr:uid="{00000000-0005-0000-0000-000014070000}"/>
    <cellStyle name="Percent 5 4" xfId="1813" xr:uid="{00000000-0005-0000-0000-000015070000}"/>
    <cellStyle name="Percent 5 4 2" xfId="1814" xr:uid="{00000000-0005-0000-0000-000016070000}"/>
    <cellStyle name="Percent 6" xfId="1815" xr:uid="{00000000-0005-0000-0000-000017070000}"/>
    <cellStyle name="Percent 6 2" xfId="1816" xr:uid="{00000000-0005-0000-0000-000018070000}"/>
    <cellStyle name="Percent 7" xfId="1817" xr:uid="{00000000-0005-0000-0000-000019070000}"/>
    <cellStyle name="Percent 7 2" xfId="1818" xr:uid="{00000000-0005-0000-0000-00001A070000}"/>
    <cellStyle name="Percent 8" xfId="1819" xr:uid="{00000000-0005-0000-0000-00001B070000}"/>
    <cellStyle name="Percent 8 2" xfId="1820" xr:uid="{00000000-0005-0000-0000-00001C070000}"/>
    <cellStyle name="Percent 8 3" xfId="1821" xr:uid="{00000000-0005-0000-0000-00001D070000}"/>
    <cellStyle name="Percent 8 3 2" xfId="1822" xr:uid="{00000000-0005-0000-0000-00001E070000}"/>
    <cellStyle name="Percent 9" xfId="1823" xr:uid="{00000000-0005-0000-0000-00001F070000}"/>
    <cellStyle name="Percent 9 2" xfId="1824" xr:uid="{00000000-0005-0000-0000-000020070000}"/>
    <cellStyle name="Percent 9 3" xfId="1825" xr:uid="{00000000-0005-0000-0000-000021070000}"/>
    <cellStyle name="Percent 9 3 2" xfId="1826" xr:uid="{00000000-0005-0000-0000-000022070000}"/>
    <cellStyle name="PlanNameCover" xfId="1827" xr:uid="{00000000-0005-0000-0000-000023070000}"/>
    <cellStyle name="Report$Number" xfId="1828" xr:uid="{00000000-0005-0000-0000-000024070000}"/>
    <cellStyle name="ReportHeader" xfId="1829" xr:uid="{00000000-0005-0000-0000-000025070000}"/>
    <cellStyle name="ReportHeaderRowCol.*" xfId="1830" xr:uid="{00000000-0005-0000-0000-000026070000}"/>
    <cellStyle name="ReportHeaderRowCol.1" xfId="1831" xr:uid="{00000000-0005-0000-0000-000027070000}"/>
    <cellStyle name="ReportHeaderRowCol.2" xfId="1832" xr:uid="{00000000-0005-0000-0000-000028070000}"/>
    <cellStyle name="ReportHeaderRowCol.Date" xfId="1833" xr:uid="{00000000-0005-0000-0000-000029070000}"/>
    <cellStyle name="ReportIntegerNumber" xfId="1834" xr:uid="{00000000-0005-0000-0000-00002A070000}"/>
    <cellStyle name="ReportNumber" xfId="1835" xr:uid="{00000000-0005-0000-0000-00002B070000}"/>
    <cellStyle name="ReportSectionTitle" xfId="1836" xr:uid="{00000000-0005-0000-0000-00002C070000}"/>
    <cellStyle name="ReportSectionTitleCenter" xfId="1837" xr:uid="{00000000-0005-0000-0000-00002D070000}"/>
    <cellStyle name="ReportSectionTitleCenterWrap" xfId="1838" xr:uid="{00000000-0005-0000-0000-00002E070000}"/>
    <cellStyle name="ReportSectionTitleRight" xfId="1839" xr:uid="{00000000-0005-0000-0000-00002F070000}"/>
    <cellStyle name="ReportSectionTitleRightWrap" xfId="1840" xr:uid="{00000000-0005-0000-0000-000030070000}"/>
    <cellStyle name="ReportSectionTitleWrap" xfId="1841" xr:uid="{00000000-0005-0000-0000-000031070000}"/>
    <cellStyle name="ReportSectionTotal" xfId="1842" xr:uid="{00000000-0005-0000-0000-000032070000}"/>
    <cellStyle name="ReportText" xfId="1843" xr:uid="{00000000-0005-0000-0000-000033070000}"/>
    <cellStyle name="ReportTextCenter" xfId="1844" xr:uid="{00000000-0005-0000-0000-000034070000}"/>
    <cellStyle name="ReportTextTop" xfId="1845" xr:uid="{00000000-0005-0000-0000-000035070000}"/>
    <cellStyle name="ReportTextWrap" xfId="1846" xr:uid="{00000000-0005-0000-0000-000036070000}"/>
    <cellStyle name="ReportTitle" xfId="1847" xr:uid="{00000000-0005-0000-0000-000037070000}"/>
    <cellStyle name="SFColumnHeader" xfId="1848" xr:uid="{00000000-0005-0000-0000-000038070000}"/>
    <cellStyle name="SFColumnHeaderCenter" xfId="1849" xr:uid="{00000000-0005-0000-0000-000039070000}"/>
    <cellStyle name="SFIntegerNumber" xfId="1850" xr:uid="{00000000-0005-0000-0000-00003A070000}"/>
    <cellStyle name="SIIColumnHeader" xfId="1851" xr:uid="{00000000-0005-0000-0000-00003B070000}"/>
    <cellStyle name="SSAData" xfId="1852" xr:uid="{00000000-0005-0000-0000-00003C070000}"/>
    <cellStyle name="SSADataCenter" xfId="1853" xr:uid="{00000000-0005-0000-0000-00003D070000}"/>
    <cellStyle name="SSAEIN" xfId="1854" xr:uid="{00000000-0005-0000-0000-00003E070000}"/>
    <cellStyle name="SSAErrData" xfId="1855" xr:uid="{00000000-0005-0000-0000-00003F070000}"/>
    <cellStyle name="SSAGrid" xfId="1856" xr:uid="{00000000-0005-0000-0000-000040070000}"/>
    <cellStyle name="SSAHeader" xfId="1857" xr:uid="{00000000-0005-0000-0000-000041070000}"/>
    <cellStyle name="SSANumber" xfId="1858" xr:uid="{00000000-0005-0000-0000-000042070000}"/>
    <cellStyle name="SSANumberRight" xfId="1859" xr:uid="{00000000-0005-0000-0000-000043070000}"/>
    <cellStyle name="SSASSN" xfId="1860" xr:uid="{00000000-0005-0000-0000-000044070000}"/>
    <cellStyle name="SubgroupSectionHeaderRowBalanceCol" xfId="1861" xr:uid="{00000000-0005-0000-0000-000045070000}"/>
    <cellStyle name="SubgroupSectionHeaderRowDescCol" xfId="1862" xr:uid="{00000000-0005-0000-0000-000046070000}"/>
    <cellStyle name="SubgroupSectionHeaderRowNameCol" xfId="1863" xr:uid="{00000000-0005-0000-0000-000047070000}"/>
    <cellStyle name="SubGroupSelectionHeaderRowJERefCol" xfId="1864" xr:uid="{00000000-0005-0000-0000-000048070000}"/>
    <cellStyle name="SubgroupSubtotalRowBalanceCol" xfId="1865" xr:uid="{00000000-0005-0000-0000-000049070000}"/>
    <cellStyle name="SubgroupSubtotalRowDescCol" xfId="1866" xr:uid="{00000000-0005-0000-0000-00004A070000}"/>
    <cellStyle name="SubgroupSubtotalRowJERefCol" xfId="1867" xr:uid="{00000000-0005-0000-0000-00004B070000}"/>
    <cellStyle name="SubgroupSubtotalRowNameCol" xfId="1868" xr:uid="{00000000-0005-0000-0000-00004C070000}"/>
    <cellStyle name="SubgroupSubtotalRowSpacerCol" xfId="1869" xr:uid="{00000000-0005-0000-0000-00004D070000}"/>
    <cellStyle name="SubgroupSubtotalRowVarPectCol" xfId="1870" xr:uid="{00000000-0005-0000-0000-00004E070000}"/>
    <cellStyle name="SubgroupSubtotalRowWPRefCol" xfId="1871" xr:uid="{00000000-0005-0000-0000-00004F070000}"/>
    <cellStyle name="SumAccountGroupsRowBalanceCol" xfId="1872" xr:uid="{00000000-0005-0000-0000-000050070000}"/>
    <cellStyle name="SumAccountGroupsRowDescCol" xfId="1873" xr:uid="{00000000-0005-0000-0000-000051070000}"/>
    <cellStyle name="SumAccountGroupsRowJERefCol" xfId="1874" xr:uid="{00000000-0005-0000-0000-000052070000}"/>
    <cellStyle name="SumAccountGroupsRowNameCol" xfId="1875" xr:uid="{00000000-0005-0000-0000-000053070000}"/>
    <cellStyle name="SumAccountGroupsRowSpacerCol" xfId="1876" xr:uid="{00000000-0005-0000-0000-000054070000}"/>
    <cellStyle name="SumAccountGroupsRowVarPectCol" xfId="1877" xr:uid="{00000000-0005-0000-0000-000055070000}"/>
    <cellStyle name="SumAccountGroupsRowWPRefCol" xfId="1878" xr:uid="{00000000-0005-0000-0000-000056070000}"/>
    <cellStyle name="Table Snip" xfId="2916" xr:uid="{4B4724B0-0BB9-42BC-8E94-F07FEBF9F952}"/>
    <cellStyle name="Text Snip" xfId="2915" xr:uid="{8FA70497-726C-46AF-921D-2E4202B71264}"/>
    <cellStyle name="Text Snip 2" xfId="2954" xr:uid="{1877F5FB-F4E4-4E39-B0F5-F8F1E57ACCBA}"/>
    <cellStyle name="Title 2" xfId="1879" xr:uid="{00000000-0005-0000-0000-000057070000}"/>
    <cellStyle name="Title 2 2" xfId="1880" xr:uid="{00000000-0005-0000-0000-000058070000}"/>
    <cellStyle name="Title 2 3" xfId="1881" xr:uid="{00000000-0005-0000-0000-000059070000}"/>
    <cellStyle name="Title 2 4" xfId="1882" xr:uid="{00000000-0005-0000-0000-00005A070000}"/>
    <cellStyle name="Title 3" xfId="1883" xr:uid="{00000000-0005-0000-0000-00005B070000}"/>
    <cellStyle name="TOCPageNumber" xfId="1884" xr:uid="{00000000-0005-0000-0000-00005C070000}"/>
    <cellStyle name="TOCPageNumHeader" xfId="1885" xr:uid="{00000000-0005-0000-0000-00005D070000}"/>
    <cellStyle name="TOCSectionHeader" xfId="1886" xr:uid="{00000000-0005-0000-0000-00005E070000}"/>
    <cellStyle name="Total" xfId="1887" builtinId="25" customBuiltin="1"/>
    <cellStyle name="Total 2" xfId="1888" xr:uid="{00000000-0005-0000-0000-000060070000}"/>
    <cellStyle name="Total 2 2" xfId="1889" xr:uid="{00000000-0005-0000-0000-000061070000}"/>
    <cellStyle name="Total 2 3" xfId="1890" xr:uid="{00000000-0005-0000-0000-000062070000}"/>
    <cellStyle name="Total 2 4" xfId="1891" xr:uid="{00000000-0005-0000-0000-000063070000}"/>
    <cellStyle name="Total 2 5" xfId="1892" xr:uid="{00000000-0005-0000-0000-000064070000}"/>
    <cellStyle name="Total 2 6" xfId="1893" xr:uid="{00000000-0005-0000-0000-000065070000}"/>
    <cellStyle name="Total 3" xfId="1894" xr:uid="{00000000-0005-0000-0000-000066070000}"/>
    <cellStyle name="Total 3 2" xfId="1895" xr:uid="{00000000-0005-0000-0000-000067070000}"/>
    <cellStyle name="Total 3 3" xfId="1896" xr:uid="{00000000-0005-0000-0000-000068070000}"/>
    <cellStyle name="TotalRow" xfId="1897" xr:uid="{00000000-0005-0000-0000-000069070000}"/>
    <cellStyle name="TotalRowCreditCol" xfId="1898" xr:uid="{00000000-0005-0000-0000-00006A070000}"/>
    <cellStyle name="TotalRowDebitCol" xfId="1899" xr:uid="{00000000-0005-0000-0000-00006B070000}"/>
    <cellStyle name="TransactionRowAcctDescCol" xfId="1900" xr:uid="{00000000-0005-0000-0000-00006C070000}"/>
    <cellStyle name="TransactionRowAcctNumCol" xfId="1901" xr:uid="{00000000-0005-0000-0000-00006D070000}"/>
    <cellStyle name="TransactionRowCreditCol" xfId="1902" xr:uid="{00000000-0005-0000-0000-00006E070000}"/>
    <cellStyle name="TransactionRowDateCol" xfId="1903" xr:uid="{00000000-0005-0000-0000-00006F070000}"/>
    <cellStyle name="TransactionRowDebitCol" xfId="1904" xr:uid="{00000000-0005-0000-0000-000070070000}"/>
    <cellStyle name="TransactionRowRefCol" xfId="1905" xr:uid="{00000000-0005-0000-0000-000071070000}"/>
    <cellStyle name="TransactionRowTransactionCol" xfId="1906" xr:uid="{00000000-0005-0000-0000-000072070000}"/>
    <cellStyle name="UnclassifiedTotalRowBalanceCol" xfId="1907" xr:uid="{00000000-0005-0000-0000-000073070000}"/>
    <cellStyle name="UnclassifiedTotalRowDescCol" xfId="1908" xr:uid="{00000000-0005-0000-0000-000074070000}"/>
    <cellStyle name="UnclassifiedTotalRowJERefCol" xfId="1909" xr:uid="{00000000-0005-0000-0000-000075070000}"/>
    <cellStyle name="UnclassifiedTotalRowNameCol" xfId="1910" xr:uid="{00000000-0005-0000-0000-000076070000}"/>
    <cellStyle name="UnclassifiedTotalRowSpacerCol" xfId="1911" xr:uid="{00000000-0005-0000-0000-000077070000}"/>
    <cellStyle name="UnclassifiedTotalRowVarPectCol" xfId="1912" xr:uid="{00000000-0005-0000-0000-000078070000}"/>
    <cellStyle name="UnclassifiedTotalRowWPRefCol" xfId="1913" xr:uid="{00000000-0005-0000-0000-000079070000}"/>
    <cellStyle name="Validation Snip" xfId="2955" xr:uid="{69F75330-D7AA-4E78-B8AC-06E827DE1D0B}"/>
    <cellStyle name="Warning Text" xfId="1914" builtinId="11" customBuiltin="1"/>
    <cellStyle name="Warning Text 2" xfId="1915" xr:uid="{00000000-0005-0000-0000-00007B070000}"/>
  </cellStyles>
  <dxfs count="11">
    <dxf>
      <fill>
        <patternFill>
          <bgColor rgb="FFDBE3F0"/>
        </patternFill>
      </fill>
    </dxf>
    <dxf>
      <font>
        <b/>
        <i val="0"/>
      </font>
      <fill>
        <patternFill>
          <bgColor rgb="FFBFCFE6" tint="0.799920651875362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horizontal/>
      </border>
    </dxf>
    <dxf>
      <font>
        <b/>
        <i val="0"/>
        <color theme="0"/>
      </font>
      <fill>
        <patternFill>
          <bgColor rgb="FF0065A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rgb="FFFFFFFF"/>
        </vertical>
        <horizontal style="hair">
          <color indexed="64"/>
        </horizontal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ACL Add-In table" pivot="0" count="4" xr9:uid="{199E7BEB-EB7B-4F37-B06F-5CE5EBFC5007}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893B-88B8-4DC1-B74B-F340A45769F1}">
  <dimension ref="B1:K145"/>
  <sheetViews>
    <sheetView tabSelected="1" workbookViewId="0">
      <selection activeCell="E20" sqref="E20"/>
    </sheetView>
  </sheetViews>
  <sheetFormatPr defaultColWidth="8.7109375" defaultRowHeight="15"/>
  <cols>
    <col min="1" max="1" width="2.28515625" style="190" customWidth="1"/>
    <col min="2" max="2" width="8.7109375" style="190"/>
    <col min="3" max="3" width="33.42578125" style="190" customWidth="1"/>
    <col min="4" max="4" width="8.7109375" style="190"/>
    <col min="5" max="5" width="24.28515625" style="190" customWidth="1"/>
    <col min="6" max="6" width="40.85546875" style="190" customWidth="1"/>
    <col min="7" max="7" width="16.28515625" style="190" bestFit="1" customWidth="1"/>
    <col min="8" max="8" width="19" style="190" customWidth="1"/>
    <col min="9" max="9" width="15.28515625" style="190" bestFit="1" customWidth="1"/>
    <col min="10" max="11" width="11" style="190" bestFit="1" customWidth="1"/>
    <col min="12" max="16384" width="8.7109375" style="190"/>
  </cols>
  <sheetData>
    <row r="1" spans="2:7">
      <c r="B1" s="367" t="s">
        <v>520</v>
      </c>
      <c r="C1" s="367"/>
      <c r="D1" s="367"/>
      <c r="E1" s="367"/>
      <c r="F1" s="367"/>
      <c r="G1" s="367"/>
    </row>
    <row r="2" spans="2:7">
      <c r="B2" s="367"/>
      <c r="C2" s="367"/>
      <c r="D2" s="367"/>
      <c r="E2" s="367"/>
      <c r="F2" s="367"/>
      <c r="G2" s="367"/>
    </row>
    <row r="3" spans="2:7" ht="15.75" thickBot="1">
      <c r="B3" s="367"/>
      <c r="C3" s="367"/>
      <c r="D3" s="367"/>
      <c r="E3" s="368" t="s">
        <v>521</v>
      </c>
      <c r="F3" s="368" t="s">
        <v>522</v>
      </c>
      <c r="G3" s="367"/>
    </row>
    <row r="4" spans="2:7" ht="16.5" thickTop="1" thickBot="1">
      <c r="B4" s="367" t="s">
        <v>523</v>
      </c>
      <c r="C4" s="367"/>
      <c r="D4" s="367"/>
      <c r="E4" s="369">
        <v>3350</v>
      </c>
      <c r="F4" s="370" t="str">
        <f>VLOOKUP(E4,'Contribution Allocation_Report'!$A$9:$B$65536,2,FALSE)</f>
        <v>VALENCIA COUNTY</v>
      </c>
      <c r="G4" s="367"/>
    </row>
    <row r="5" spans="2:7" ht="15.75" thickTop="1">
      <c r="B5" s="367"/>
      <c r="C5" s="367"/>
      <c r="D5" s="367"/>
      <c r="E5" s="371"/>
      <c r="F5" s="367"/>
      <c r="G5" s="367"/>
    </row>
    <row r="6" spans="2:7">
      <c r="B6" s="367"/>
      <c r="C6" s="367"/>
      <c r="D6" s="367"/>
      <c r="E6" s="367"/>
      <c r="F6" s="367"/>
      <c r="G6" s="367"/>
    </row>
    <row r="7" spans="2:7">
      <c r="B7" s="367" t="s">
        <v>582</v>
      </c>
      <c r="C7" s="367"/>
      <c r="D7" s="367"/>
      <c r="E7" s="367"/>
      <c r="F7" s="367"/>
      <c r="G7" s="367"/>
    </row>
    <row r="8" spans="2:7" ht="15.75" thickBot="1">
      <c r="B8" s="367"/>
      <c r="C8" s="367"/>
      <c r="D8" s="367"/>
      <c r="E8" s="367"/>
      <c r="F8" s="367"/>
      <c r="G8" s="367"/>
    </row>
    <row r="9" spans="2:7" ht="16.5" thickTop="1" thickBot="1">
      <c r="B9" s="367"/>
      <c r="C9" s="367" t="s">
        <v>524</v>
      </c>
      <c r="D9" s="367"/>
      <c r="E9" s="372">
        <v>268000</v>
      </c>
      <c r="F9" s="373" t="s">
        <v>525</v>
      </c>
      <c r="G9" s="367"/>
    </row>
    <row r="10" spans="2:7" ht="16.5" thickTop="1" thickBot="1">
      <c r="B10" s="367"/>
      <c r="C10" s="367"/>
      <c r="D10" s="367"/>
      <c r="E10" s="374"/>
      <c r="F10" s="373"/>
      <c r="G10" s="367"/>
    </row>
    <row r="11" spans="2:7" ht="16.5" thickTop="1" thickBot="1">
      <c r="B11" s="367"/>
      <c r="C11" s="367" t="s">
        <v>526</v>
      </c>
      <c r="D11" s="367"/>
      <c r="E11" s="372">
        <f>+E9/0.02</f>
        <v>13400000</v>
      </c>
      <c r="F11" s="373" t="s">
        <v>527</v>
      </c>
      <c r="G11" s="367"/>
    </row>
    <row r="12" spans="2:7" ht="15.75" thickTop="1">
      <c r="B12" s="367"/>
      <c r="C12" s="367"/>
      <c r="D12" s="367"/>
      <c r="E12" s="374"/>
      <c r="F12" s="373" t="s">
        <v>583</v>
      </c>
      <c r="G12" s="367"/>
    </row>
    <row r="13" spans="2:7">
      <c r="B13" s="367"/>
      <c r="C13" s="367"/>
      <c r="D13" s="367"/>
      <c r="E13" s="375"/>
      <c r="F13" s="367"/>
      <c r="G13" s="367"/>
    </row>
    <row r="14" spans="2:7">
      <c r="B14" s="367" t="s">
        <v>584</v>
      </c>
      <c r="C14" s="367"/>
      <c r="D14" s="367"/>
      <c r="E14" s="367"/>
      <c r="F14" s="367"/>
      <c r="G14" s="367"/>
    </row>
    <row r="15" spans="2:7" ht="15.75" thickBot="1">
      <c r="B15" s="367"/>
      <c r="C15" s="367"/>
      <c r="D15" s="367"/>
      <c r="E15" s="367"/>
      <c r="F15" s="367"/>
      <c r="G15" s="367"/>
    </row>
    <row r="16" spans="2:7" ht="16.5" thickTop="1" thickBot="1">
      <c r="B16" s="367"/>
      <c r="C16" s="367"/>
      <c r="D16" s="367"/>
      <c r="E16" s="372">
        <v>267940</v>
      </c>
      <c r="F16" s="373" t="s">
        <v>528</v>
      </c>
      <c r="G16" s="367"/>
    </row>
    <row r="17" spans="2:7" ht="15.75" thickTop="1">
      <c r="B17" s="367"/>
      <c r="C17" s="367"/>
      <c r="D17" s="367"/>
      <c r="E17" s="375"/>
      <c r="F17" s="373"/>
      <c r="G17" s="367"/>
    </row>
    <row r="18" spans="2:7">
      <c r="B18" s="368" t="s">
        <v>529</v>
      </c>
      <c r="C18" s="367"/>
      <c r="D18" s="367"/>
      <c r="E18" s="376" t="s">
        <v>530</v>
      </c>
      <c r="F18" s="368" t="s">
        <v>531</v>
      </c>
      <c r="G18" s="367"/>
    </row>
    <row r="19" spans="2:7">
      <c r="B19" s="367"/>
      <c r="C19" s="367"/>
      <c r="D19" s="367"/>
      <c r="E19" s="367"/>
      <c r="F19" s="367"/>
      <c r="G19" s="367"/>
    </row>
    <row r="20" spans="2:7">
      <c r="B20" s="367" t="s">
        <v>585</v>
      </c>
      <c r="C20" s="367"/>
      <c r="D20" s="367"/>
      <c r="E20" s="377">
        <f>VLOOKUP(E4,'Contribution Allocation_Report'!$A$9:$D$65536,4,FALSE)</f>
        <v>2.1037883414620432E-3</v>
      </c>
      <c r="F20" s="373" t="s">
        <v>532</v>
      </c>
      <c r="G20" s="367"/>
    </row>
    <row r="21" spans="2:7">
      <c r="B21" s="367"/>
      <c r="C21" s="367"/>
      <c r="D21" s="367"/>
      <c r="E21" s="367"/>
      <c r="F21" s="367"/>
      <c r="G21" s="367"/>
    </row>
    <row r="22" spans="2:7">
      <c r="B22" s="367" t="s">
        <v>367</v>
      </c>
      <c r="C22" s="367"/>
      <c r="D22" s="367"/>
      <c r="E22" s="378">
        <f>VLOOKUP($E$4,'OPEB Amounts_Report'!$A$10:$P$65536,8,FALSE)</f>
        <v>1947673</v>
      </c>
      <c r="F22" s="373" t="s">
        <v>383</v>
      </c>
      <c r="G22" s="367"/>
    </row>
    <row r="23" spans="2:7">
      <c r="B23" s="367"/>
      <c r="C23" s="367"/>
      <c r="D23" s="367"/>
      <c r="E23" s="367"/>
      <c r="F23" s="373"/>
      <c r="G23" s="367"/>
    </row>
    <row r="24" spans="2:7">
      <c r="B24" s="367" t="s">
        <v>295</v>
      </c>
      <c r="C24" s="367"/>
      <c r="D24" s="367"/>
      <c r="E24" s="378">
        <f>VLOOKUP($E$4,'OPEB Amounts_Report'!$A$10:$P$65536,13,FALSE)</f>
        <v>3673732</v>
      </c>
      <c r="F24" s="373" t="s">
        <v>383</v>
      </c>
      <c r="G24" s="367"/>
    </row>
    <row r="25" spans="2:7">
      <c r="B25" s="367"/>
      <c r="C25" s="367"/>
      <c r="D25" s="367"/>
      <c r="E25" s="367"/>
      <c r="F25" s="373"/>
      <c r="G25" s="367"/>
    </row>
    <row r="26" spans="2:7">
      <c r="B26" s="367" t="s">
        <v>533</v>
      </c>
      <c r="C26" s="367"/>
      <c r="D26" s="367"/>
      <c r="E26" s="378">
        <f>VLOOKUP($E$4,'OPEB Amounts_Report'!$A$10:$Q$65536,17,FALSE)</f>
        <v>-932707</v>
      </c>
      <c r="F26" s="373" t="s">
        <v>383</v>
      </c>
      <c r="G26" s="367"/>
    </row>
    <row r="27" spans="2:7">
      <c r="B27" s="367"/>
      <c r="C27" s="367"/>
      <c r="D27" s="367"/>
      <c r="E27" s="367"/>
      <c r="F27" s="373"/>
      <c r="G27" s="367"/>
    </row>
    <row r="28" spans="2:7">
      <c r="B28" s="367" t="s">
        <v>534</v>
      </c>
      <c r="C28" s="367"/>
      <c r="D28" s="367"/>
      <c r="E28" s="378">
        <f>VLOOKUP($E$4,'OPEB Amounts_Report'!$A$10:$P$65536,3,FALSE)</f>
        <v>3754842</v>
      </c>
      <c r="F28" s="373" t="s">
        <v>383</v>
      </c>
      <c r="G28" s="367"/>
    </row>
    <row r="29" spans="2:7">
      <c r="B29" s="367"/>
      <c r="C29" s="367"/>
      <c r="D29" s="367"/>
      <c r="E29" s="367"/>
      <c r="F29" s="373"/>
      <c r="G29" s="367"/>
    </row>
    <row r="30" spans="2:7">
      <c r="B30" s="367"/>
      <c r="C30" s="367"/>
      <c r="D30" s="367"/>
      <c r="E30" s="367"/>
      <c r="F30" s="367"/>
      <c r="G30" s="367"/>
    </row>
    <row r="31" spans="2:7">
      <c r="B31" s="367" t="s">
        <v>535</v>
      </c>
      <c r="C31" s="367"/>
      <c r="D31" s="367"/>
      <c r="E31" s="367"/>
      <c r="F31" s="367"/>
      <c r="G31" s="367"/>
    </row>
    <row r="32" spans="2:7">
      <c r="B32" s="367"/>
      <c r="C32" s="367"/>
      <c r="D32" s="367"/>
      <c r="E32" s="367"/>
      <c r="F32" s="367"/>
      <c r="G32" s="379"/>
    </row>
    <row r="33" spans="2:11">
      <c r="B33" s="367" t="s">
        <v>536</v>
      </c>
      <c r="C33" s="367"/>
      <c r="D33" s="367"/>
      <c r="E33" s="380">
        <f>IFERROR(VLOOKUP($E$4,'PY_OPEB Amounts_Report'!$A$4:$O$324,3,0),0)-E28</f>
        <v>-336600</v>
      </c>
      <c r="F33" s="367"/>
      <c r="G33" s="367"/>
    </row>
    <row r="34" spans="2:11">
      <c r="B34" s="367" t="s">
        <v>295</v>
      </c>
      <c r="C34" s="367"/>
      <c r="D34" s="367"/>
      <c r="E34" s="380">
        <f>IFERROR(VLOOKUP($E$4,'PY_OPEB Amounts_Report'!$A$4:$O$324,13,0),0)-E24</f>
        <v>1606733</v>
      </c>
      <c r="F34" s="367"/>
      <c r="G34" s="381"/>
      <c r="H34" s="381"/>
      <c r="I34" s="382"/>
    </row>
    <row r="35" spans="2:11">
      <c r="B35" s="367" t="s">
        <v>367</v>
      </c>
      <c r="C35" s="367"/>
      <c r="D35" s="367"/>
      <c r="E35" s="380">
        <f>-IFERROR(VLOOKUP($E$4,'PY_OPEB Amounts_Report'!$A$4:$O$324,8,0),0)+E22-E16</f>
        <v>-337165</v>
      </c>
      <c r="F35" s="367"/>
      <c r="G35" s="381"/>
      <c r="H35" s="382"/>
      <c r="I35" s="382"/>
      <c r="J35" s="180"/>
      <c r="K35" s="180"/>
    </row>
    <row r="36" spans="2:11">
      <c r="B36" s="367" t="s">
        <v>386</v>
      </c>
      <c r="C36" s="367"/>
      <c r="D36" s="367"/>
      <c r="E36" s="380">
        <f>+E26</f>
        <v>-932707</v>
      </c>
      <c r="F36" s="383"/>
      <c r="G36" s="367"/>
    </row>
    <row r="37" spans="2:11">
      <c r="B37" s="367" t="s">
        <v>537</v>
      </c>
      <c r="C37" s="367"/>
      <c r="D37" s="367"/>
      <c r="E37" s="383">
        <f>-SUM(E33:E36)</f>
        <v>-261</v>
      </c>
      <c r="F37" s="373" t="s">
        <v>538</v>
      </c>
      <c r="G37" s="367"/>
    </row>
    <row r="38" spans="2:11">
      <c r="B38" s="367"/>
      <c r="C38" s="367"/>
      <c r="D38" s="367"/>
      <c r="E38" s="383"/>
      <c r="F38" s="384" t="s">
        <v>539</v>
      </c>
      <c r="G38" s="367"/>
    </row>
    <row r="39" spans="2:11">
      <c r="B39" s="367"/>
      <c r="C39" s="367"/>
      <c r="D39" s="367"/>
      <c r="E39" s="383"/>
      <c r="F39" s="384" t="s">
        <v>540</v>
      </c>
      <c r="G39" s="367"/>
    </row>
    <row r="40" spans="2:11">
      <c r="B40" s="367"/>
      <c r="C40" s="367"/>
      <c r="D40" s="367"/>
      <c r="E40" s="367"/>
      <c r="F40" s="367"/>
      <c r="G40" s="367"/>
    </row>
    <row r="41" spans="2:11">
      <c r="B41" s="367" t="s">
        <v>541</v>
      </c>
      <c r="C41" s="367"/>
      <c r="D41" s="367"/>
      <c r="E41" s="367"/>
      <c r="F41" s="367"/>
      <c r="G41" s="367"/>
    </row>
    <row r="42" spans="2:11">
      <c r="B42" s="367"/>
      <c r="C42" s="367"/>
      <c r="D42" s="367"/>
      <c r="E42" s="367"/>
      <c r="F42" s="367"/>
      <c r="G42" s="367"/>
    </row>
    <row r="43" spans="2:11">
      <c r="B43" s="367" t="s">
        <v>367</v>
      </c>
      <c r="C43" s="367"/>
      <c r="D43" s="367"/>
      <c r="E43" s="383">
        <f>+E9</f>
        <v>268000</v>
      </c>
      <c r="F43" s="367"/>
      <c r="G43" s="367"/>
    </row>
    <row r="44" spans="2:11">
      <c r="B44" s="367" t="s">
        <v>542</v>
      </c>
      <c r="C44" s="367"/>
      <c r="D44" s="367"/>
      <c r="E44" s="383">
        <f>-E43</f>
        <v>-268000</v>
      </c>
      <c r="F44" s="367"/>
      <c r="G44" s="367"/>
    </row>
    <row r="45" spans="2:11">
      <c r="B45" s="367"/>
      <c r="C45" s="367"/>
      <c r="D45" s="367"/>
      <c r="E45" s="367"/>
      <c r="F45" s="367"/>
      <c r="G45" s="367"/>
    </row>
    <row r="46" spans="2:11">
      <c r="B46" s="367"/>
      <c r="C46" s="367"/>
      <c r="D46" s="367"/>
      <c r="E46" s="367"/>
      <c r="F46" s="367"/>
      <c r="G46" s="367"/>
    </row>
    <row r="47" spans="2:11">
      <c r="B47" s="367" t="s">
        <v>543</v>
      </c>
      <c r="C47" s="367"/>
      <c r="D47" s="367"/>
      <c r="E47" s="367"/>
      <c r="F47" s="367"/>
      <c r="G47" s="367"/>
    </row>
    <row r="48" spans="2:11">
      <c r="B48" s="367"/>
      <c r="C48" s="367"/>
      <c r="D48" s="367"/>
      <c r="E48" s="367"/>
      <c r="F48" s="367"/>
      <c r="G48" s="367"/>
    </row>
    <row r="49" spans="2:7">
      <c r="B49" s="367"/>
      <c r="C49" s="367"/>
      <c r="D49" s="367"/>
      <c r="E49" s="367"/>
      <c r="F49" s="367"/>
      <c r="G49" s="367"/>
    </row>
    <row r="50" spans="2:7">
      <c r="B50" s="368" t="s">
        <v>544</v>
      </c>
      <c r="C50" s="367"/>
      <c r="D50" s="367"/>
      <c r="E50" s="367"/>
      <c r="F50" s="367"/>
      <c r="G50" s="367"/>
    </row>
    <row r="51" spans="2:7">
      <c r="B51" s="367"/>
      <c r="C51" s="367"/>
      <c r="D51" s="367"/>
      <c r="E51" s="367"/>
      <c r="F51" s="367"/>
      <c r="G51" s="367"/>
    </row>
    <row r="52" spans="2:7">
      <c r="B52" s="367"/>
      <c r="C52" s="385"/>
      <c r="D52" s="386" t="s">
        <v>509</v>
      </c>
      <c r="E52" s="387">
        <f>VLOOKUP($E$4,'Discount Rate Sensitivity'!$A$4:$E$313,3,FALSE)</f>
        <v>4735102</v>
      </c>
      <c r="F52" s="373" t="s">
        <v>385</v>
      </c>
      <c r="G52" s="367"/>
    </row>
    <row r="53" spans="2:7">
      <c r="B53" s="367"/>
      <c r="C53" s="385"/>
      <c r="D53" s="386" t="s">
        <v>508</v>
      </c>
      <c r="E53" s="387">
        <f>VLOOKUP($E$4,'Discount Rate Sensitivity'!$A$4:$E$313,4,FALSE)</f>
        <v>3754842</v>
      </c>
      <c r="F53" s="373" t="s">
        <v>385</v>
      </c>
      <c r="G53" s="367"/>
    </row>
    <row r="54" spans="2:7">
      <c r="B54" s="367"/>
      <c r="C54" s="385"/>
      <c r="D54" s="386" t="s">
        <v>603</v>
      </c>
      <c r="E54" s="387">
        <f>VLOOKUP($E$4,'Discount Rate Sensitivity'!$A$4:$E$313,5,FALSE)</f>
        <v>2951280</v>
      </c>
      <c r="F54" s="373" t="s">
        <v>385</v>
      </c>
      <c r="G54" s="367"/>
    </row>
    <row r="55" spans="2:7">
      <c r="B55" s="367"/>
      <c r="C55" s="367"/>
      <c r="D55" s="367"/>
      <c r="E55" s="367"/>
      <c r="F55" s="367"/>
      <c r="G55" s="367"/>
    </row>
    <row r="56" spans="2:7">
      <c r="B56" s="368" t="s">
        <v>545</v>
      </c>
      <c r="C56" s="367"/>
      <c r="D56" s="367"/>
      <c r="E56" s="367"/>
      <c r="F56" s="367"/>
      <c r="G56" s="367"/>
    </row>
    <row r="57" spans="2:7">
      <c r="B57" s="368"/>
      <c r="C57" s="367"/>
      <c r="D57" s="367"/>
      <c r="E57" s="367"/>
      <c r="F57" s="367"/>
      <c r="G57" s="367"/>
    </row>
    <row r="58" spans="2:7">
      <c r="B58" s="367"/>
      <c r="C58" s="367"/>
      <c r="D58" s="386" t="s">
        <v>325</v>
      </c>
      <c r="E58" s="387">
        <f>VLOOKUP($E$4,'Trend Rate Sensitivity'!$A$7:$E$313,3,FALSE)</f>
        <v>2901701</v>
      </c>
      <c r="F58" s="373" t="s">
        <v>463</v>
      </c>
      <c r="G58" s="367"/>
    </row>
    <row r="59" spans="2:7">
      <c r="B59" s="367"/>
      <c r="C59" s="367"/>
      <c r="D59" s="386" t="s">
        <v>546</v>
      </c>
      <c r="E59" s="387">
        <f>VLOOKUP($E$4,'Trend Rate Sensitivity'!$A$7:$E$313,4,FALSE)</f>
        <v>3754842</v>
      </c>
      <c r="F59" s="373" t="s">
        <v>463</v>
      </c>
      <c r="G59" s="367"/>
    </row>
    <row r="60" spans="2:7">
      <c r="B60" s="367"/>
      <c r="C60" s="367"/>
      <c r="D60" s="386" t="s">
        <v>326</v>
      </c>
      <c r="E60" s="387">
        <f>VLOOKUP($E$4,'Trend Rate Sensitivity'!$A$7:$E$313,5,FALSE)</f>
        <v>5945813</v>
      </c>
      <c r="F60" s="373" t="s">
        <v>463</v>
      </c>
      <c r="G60" s="367"/>
    </row>
    <row r="61" spans="2:7">
      <c r="B61" s="367"/>
      <c r="C61" s="367"/>
      <c r="D61" s="367"/>
      <c r="E61" s="367"/>
      <c r="F61" s="367"/>
      <c r="G61" s="367"/>
    </row>
    <row r="62" spans="2:7">
      <c r="B62" s="367"/>
      <c r="C62" s="367"/>
      <c r="D62" s="367"/>
      <c r="E62" s="367"/>
      <c r="F62" s="367"/>
      <c r="G62" s="367"/>
    </row>
    <row r="63" spans="2:7">
      <c r="B63" s="368" t="s">
        <v>547</v>
      </c>
      <c r="C63" s="367"/>
      <c r="D63" s="367"/>
      <c r="E63" s="367"/>
      <c r="F63" s="367"/>
      <c r="G63" s="367"/>
    </row>
    <row r="64" spans="2:7">
      <c r="B64" s="367"/>
      <c r="C64" s="367"/>
      <c r="D64" s="367"/>
      <c r="E64" s="367"/>
      <c r="F64" s="367"/>
      <c r="G64" s="367"/>
    </row>
    <row r="65" spans="2:7">
      <c r="B65" s="388" t="s">
        <v>367</v>
      </c>
      <c r="C65" s="367"/>
      <c r="D65" s="367"/>
      <c r="E65" s="389" t="s">
        <v>530</v>
      </c>
      <c r="F65" s="367"/>
      <c r="G65" s="367"/>
    </row>
    <row r="66" spans="2:7">
      <c r="B66" s="388"/>
      <c r="C66" s="367"/>
      <c r="D66" s="367"/>
      <c r="E66" s="389"/>
      <c r="F66" s="367"/>
      <c r="G66" s="367"/>
    </row>
    <row r="67" spans="2:7">
      <c r="B67" s="390" t="s">
        <v>548</v>
      </c>
      <c r="C67" s="367"/>
      <c r="D67" s="367"/>
      <c r="E67" s="367"/>
      <c r="F67" s="367"/>
      <c r="G67" s="367"/>
    </row>
    <row r="68" spans="2:7">
      <c r="B68" s="391" t="s">
        <v>549</v>
      </c>
      <c r="C68" s="367"/>
      <c r="D68" s="367"/>
      <c r="E68" s="387">
        <f>VLOOKUP($E$4,'OPEB Amounts_Report'!$A$10:$P$65536,4,FALSE)</f>
        <v>40241</v>
      </c>
      <c r="F68" s="373" t="s">
        <v>383</v>
      </c>
      <c r="G68" s="367"/>
    </row>
    <row r="69" spans="2:7">
      <c r="B69" s="391"/>
      <c r="C69" s="367"/>
      <c r="D69" s="367"/>
      <c r="E69" s="387"/>
      <c r="F69" s="373"/>
      <c r="G69" s="367"/>
    </row>
    <row r="70" spans="2:7">
      <c r="B70" s="390" t="s">
        <v>550</v>
      </c>
      <c r="C70" s="367"/>
      <c r="D70" s="367"/>
      <c r="E70" s="387"/>
      <c r="F70" s="373"/>
      <c r="G70" s="367"/>
    </row>
    <row r="71" spans="2:7">
      <c r="B71" s="391" t="s">
        <v>551</v>
      </c>
      <c r="C71" s="367"/>
      <c r="D71" s="367"/>
      <c r="E71" s="387"/>
      <c r="F71" s="373"/>
      <c r="G71" s="367"/>
    </row>
    <row r="72" spans="2:7">
      <c r="B72" s="391" t="s">
        <v>552</v>
      </c>
      <c r="C72" s="367"/>
      <c r="D72" s="367"/>
      <c r="E72" s="387">
        <f>VLOOKUP($E$4,'OPEB Amounts_Report'!$A$10:$P$65536,5,FALSE)</f>
        <v>33565</v>
      </c>
      <c r="F72" s="373" t="s">
        <v>383</v>
      </c>
      <c r="G72" s="367"/>
    </row>
    <row r="73" spans="2:7">
      <c r="B73" s="391"/>
      <c r="C73" s="367"/>
      <c r="D73" s="367"/>
      <c r="E73" s="387"/>
      <c r="F73" s="373"/>
      <c r="G73" s="367"/>
    </row>
    <row r="74" spans="2:7">
      <c r="B74" s="388"/>
      <c r="C74" s="367"/>
      <c r="D74" s="367"/>
      <c r="E74" s="389"/>
      <c r="F74" s="367"/>
      <c r="G74" s="367"/>
    </row>
    <row r="75" spans="2:7">
      <c r="B75" s="390" t="s">
        <v>298</v>
      </c>
      <c r="C75" s="367"/>
      <c r="D75" s="367"/>
      <c r="E75" s="387">
        <f>VLOOKUP($E$4,'OPEB Amounts_Report'!$A$10:$P$65536,6,FALSE)</f>
        <v>702625</v>
      </c>
      <c r="F75" s="373" t="s">
        <v>383</v>
      </c>
      <c r="G75" s="367"/>
    </row>
    <row r="76" spans="2:7">
      <c r="B76" s="390"/>
      <c r="C76" s="367"/>
      <c r="D76" s="367"/>
      <c r="E76" s="367"/>
      <c r="F76" s="367"/>
      <c r="G76" s="367"/>
    </row>
    <row r="77" spans="2:7">
      <c r="B77" s="367" t="s">
        <v>553</v>
      </c>
      <c r="C77" s="367"/>
      <c r="D77" s="367"/>
      <c r="E77" s="387">
        <f>VLOOKUP($E$4,'OPEB Amounts_Report'!$A$10:$P$65536,7,FALSE)</f>
        <v>1171242</v>
      </c>
      <c r="F77" s="373" t="s">
        <v>383</v>
      </c>
      <c r="G77" s="367"/>
    </row>
    <row r="78" spans="2:7">
      <c r="B78" s="367"/>
      <c r="C78" s="367"/>
      <c r="D78" s="367"/>
      <c r="E78" s="367"/>
      <c r="F78" s="367"/>
      <c r="G78" s="367"/>
    </row>
    <row r="79" spans="2:7">
      <c r="B79" s="367" t="s">
        <v>554</v>
      </c>
      <c r="C79" s="367"/>
      <c r="D79" s="367"/>
      <c r="E79" s="367"/>
      <c r="F79" s="367"/>
      <c r="G79" s="367"/>
    </row>
    <row r="80" spans="2:7">
      <c r="B80" s="392" t="s">
        <v>555</v>
      </c>
      <c r="C80" s="367"/>
      <c r="D80" s="367"/>
      <c r="E80" s="380">
        <f>+E9</f>
        <v>268000</v>
      </c>
      <c r="F80" s="373" t="s">
        <v>525</v>
      </c>
      <c r="G80" s="367"/>
    </row>
    <row r="81" spans="2:7">
      <c r="B81" s="367"/>
      <c r="C81" s="367"/>
      <c r="D81" s="367"/>
      <c r="E81" s="367"/>
      <c r="F81" s="367"/>
      <c r="G81" s="367"/>
    </row>
    <row r="82" spans="2:7" ht="15.75" thickBot="1">
      <c r="B82" s="367" t="s">
        <v>369</v>
      </c>
      <c r="C82" s="367"/>
      <c r="D82" s="367"/>
      <c r="E82" s="393">
        <f>SUM(E68:E81)</f>
        <v>2215673</v>
      </c>
      <c r="F82" s="367"/>
      <c r="G82" s="367"/>
    </row>
    <row r="83" spans="2:7" ht="15.75" thickTop="1">
      <c r="B83" s="367"/>
      <c r="C83" s="367"/>
      <c r="D83" s="367"/>
      <c r="E83" s="367"/>
      <c r="F83" s="367"/>
      <c r="G83" s="367"/>
    </row>
    <row r="84" spans="2:7">
      <c r="B84" s="388" t="s">
        <v>295</v>
      </c>
      <c r="C84" s="388"/>
      <c r="D84" s="388"/>
      <c r="E84" s="389" t="s">
        <v>530</v>
      </c>
      <c r="F84" s="367"/>
      <c r="G84" s="367"/>
    </row>
    <row r="85" spans="2:7">
      <c r="B85" s="367"/>
      <c r="C85" s="367"/>
      <c r="D85" s="367"/>
      <c r="E85" s="367"/>
      <c r="F85" s="367"/>
      <c r="G85" s="367"/>
    </row>
    <row r="86" spans="2:7">
      <c r="B86" s="390" t="s">
        <v>548</v>
      </c>
      <c r="C86" s="367"/>
      <c r="D86" s="367"/>
      <c r="E86" s="367"/>
      <c r="F86" s="367"/>
      <c r="G86" s="367"/>
    </row>
    <row r="87" spans="2:7">
      <c r="B87" s="391" t="s">
        <v>549</v>
      </c>
      <c r="C87" s="367"/>
      <c r="D87" s="367"/>
      <c r="E87" s="387">
        <f>VLOOKUP($E$4,'OPEB Amounts_Report'!$A$10:$P$65536,10,FALSE)</f>
        <v>392210</v>
      </c>
      <c r="F87" s="373" t="s">
        <v>383</v>
      </c>
      <c r="G87" s="367"/>
    </row>
    <row r="88" spans="2:7">
      <c r="B88" s="391"/>
      <c r="C88" s="367"/>
      <c r="D88" s="367"/>
      <c r="E88" s="394"/>
      <c r="F88" s="373"/>
      <c r="G88" s="367"/>
    </row>
    <row r="89" spans="2:7">
      <c r="B89" s="390" t="s">
        <v>298</v>
      </c>
      <c r="C89" s="367"/>
      <c r="D89" s="367"/>
      <c r="E89" s="387">
        <f>VLOOKUP($E$4,'OPEB Amounts_Report'!$A$10:$P$65536,11,FALSE)</f>
        <v>2381084</v>
      </c>
      <c r="F89" s="373" t="s">
        <v>383</v>
      </c>
      <c r="G89" s="367"/>
    </row>
    <row r="90" spans="2:7">
      <c r="B90" s="390"/>
      <c r="C90" s="367"/>
      <c r="D90" s="367"/>
      <c r="E90" s="394"/>
      <c r="F90" s="373"/>
      <c r="G90" s="367"/>
    </row>
    <row r="91" spans="2:7">
      <c r="B91" s="390" t="s">
        <v>553</v>
      </c>
      <c r="C91" s="367"/>
      <c r="D91" s="367"/>
      <c r="E91" s="387">
        <f>VLOOKUP($E$4,'OPEB Amounts_Report'!$A$10:$P$65536,12,FALSE)</f>
        <v>900438</v>
      </c>
      <c r="F91" s="373" t="s">
        <v>383</v>
      </c>
      <c r="G91" s="367"/>
    </row>
    <row r="92" spans="2:7">
      <c r="B92" s="390"/>
      <c r="C92" s="367"/>
      <c r="D92" s="367"/>
      <c r="E92" s="394"/>
      <c r="F92" s="373"/>
      <c r="G92" s="367"/>
    </row>
    <row r="93" spans="2:7" ht="15.75" thickBot="1">
      <c r="B93" s="367" t="s">
        <v>299</v>
      </c>
      <c r="C93" s="367"/>
      <c r="D93" s="367"/>
      <c r="E93" s="393">
        <f>SUM(E87:E92)</f>
        <v>3673732</v>
      </c>
      <c r="F93" s="367"/>
      <c r="G93" s="367"/>
    </row>
    <row r="94" spans="2:7" ht="15.75" thickTop="1">
      <c r="B94" s="367"/>
      <c r="C94" s="367"/>
      <c r="D94" s="367"/>
      <c r="E94" s="367"/>
      <c r="F94" s="367"/>
      <c r="G94" s="367"/>
    </row>
    <row r="95" spans="2:7">
      <c r="B95" s="367"/>
      <c r="C95" s="367"/>
      <c r="D95" s="367"/>
      <c r="E95" s="367"/>
      <c r="F95" s="367"/>
      <c r="G95" s="367"/>
    </row>
    <row r="96" spans="2:7">
      <c r="B96" s="368" t="s">
        <v>300</v>
      </c>
      <c r="C96" s="367"/>
      <c r="D96" s="367"/>
      <c r="E96" s="367"/>
      <c r="F96" s="367"/>
      <c r="G96" s="367"/>
    </row>
    <row r="97" spans="2:8">
      <c r="B97" s="367"/>
      <c r="C97" s="367"/>
      <c r="D97" s="367"/>
      <c r="E97" s="367"/>
      <c r="F97" s="367"/>
      <c r="G97" s="367"/>
    </row>
    <row r="98" spans="2:8">
      <c r="B98" s="367"/>
      <c r="C98" s="367"/>
      <c r="D98" s="371" t="s">
        <v>556</v>
      </c>
      <c r="E98" s="371" t="s">
        <v>530</v>
      </c>
      <c r="F98" s="367"/>
      <c r="G98" s="367"/>
    </row>
    <row r="99" spans="2:8">
      <c r="B99" s="367"/>
      <c r="C99" s="367"/>
      <c r="D99" s="367">
        <v>2026</v>
      </c>
      <c r="E99" s="387">
        <f>VLOOKUP($E$4,'Amortization Tables_Report'!$A$10:$G$319,3,FALSE)</f>
        <v>-611761</v>
      </c>
      <c r="F99" s="373" t="s">
        <v>557</v>
      </c>
      <c r="G99" s="367"/>
    </row>
    <row r="100" spans="2:8">
      <c r="B100" s="367"/>
      <c r="C100" s="367"/>
      <c r="D100" s="367">
        <v>2027</v>
      </c>
      <c r="E100" s="387">
        <f>VLOOKUP($E$4,'Amortization Tables_Report'!$A$10:$G$319,4,FALSE)</f>
        <v>-801849</v>
      </c>
      <c r="F100" s="373" t="s">
        <v>557</v>
      </c>
      <c r="G100" s="367"/>
    </row>
    <row r="101" spans="2:8">
      <c r="B101" s="367"/>
      <c r="C101" s="367"/>
      <c r="D101" s="367">
        <v>2028</v>
      </c>
      <c r="E101" s="387">
        <f>VLOOKUP($E$4,'Amortization Tables_Report'!$A$10:$G$319,5,FALSE)</f>
        <v>-270170</v>
      </c>
      <c r="F101" s="373" t="s">
        <v>557</v>
      </c>
      <c r="G101" s="367"/>
    </row>
    <row r="102" spans="2:8">
      <c r="B102" s="367"/>
      <c r="C102" s="367"/>
      <c r="D102" s="367">
        <v>2029</v>
      </c>
      <c r="E102" s="387">
        <f>VLOOKUP($E$4,'Amortization Tables_Report'!$A$10:$G$319,6,FALSE)</f>
        <v>-149105</v>
      </c>
      <c r="F102" s="373" t="s">
        <v>557</v>
      </c>
      <c r="G102" s="367"/>
    </row>
    <row r="103" spans="2:8">
      <c r="B103" s="367"/>
      <c r="C103" s="367"/>
      <c r="D103" s="367">
        <v>2030</v>
      </c>
      <c r="E103" s="387">
        <f>VLOOKUP($E$4,'Amortization Tables_Report'!$A$10:$G$319,7,FALSE)</f>
        <v>106826</v>
      </c>
      <c r="F103" s="373" t="s">
        <v>557</v>
      </c>
      <c r="G103" s="367"/>
    </row>
    <row r="104" spans="2:8" ht="15.75" thickBot="1">
      <c r="B104" s="367"/>
      <c r="C104" s="367"/>
      <c r="D104" s="371" t="s">
        <v>363</v>
      </c>
      <c r="E104" s="393">
        <f>SUM(E99:E103)</f>
        <v>-1726059</v>
      </c>
      <c r="F104" s="367"/>
      <c r="G104" s="367"/>
      <c r="H104" s="180"/>
    </row>
    <row r="105" spans="2:8" ht="15.75" thickTop="1">
      <c r="B105" s="367"/>
      <c r="C105" s="367"/>
      <c r="D105" s="367"/>
      <c r="E105" s="367"/>
      <c r="F105" s="383"/>
      <c r="G105" s="367"/>
    </row>
    <row r="106" spans="2:8">
      <c r="B106" s="367"/>
      <c r="C106" s="367"/>
      <c r="D106" s="367"/>
      <c r="E106" s="367"/>
      <c r="F106" s="367"/>
      <c r="G106" s="367"/>
    </row>
    <row r="107" spans="2:8">
      <c r="B107" s="368" t="s">
        <v>558</v>
      </c>
      <c r="C107" s="367"/>
      <c r="D107" s="367"/>
      <c r="E107" s="367"/>
      <c r="F107" s="367"/>
      <c r="G107" s="367"/>
    </row>
    <row r="108" spans="2:8">
      <c r="B108" s="367"/>
      <c r="C108" s="367"/>
      <c r="D108" s="367"/>
      <c r="E108" s="367"/>
      <c r="F108" s="367"/>
      <c r="G108" s="367"/>
    </row>
    <row r="109" spans="2:8">
      <c r="B109" s="367" t="s">
        <v>559</v>
      </c>
      <c r="C109" s="367"/>
      <c r="D109" s="367"/>
      <c r="E109" s="367"/>
      <c r="F109" s="367"/>
      <c r="G109" s="367"/>
    </row>
    <row r="110" spans="2:8">
      <c r="B110" s="367"/>
      <c r="C110" s="367"/>
      <c r="D110" s="367"/>
      <c r="E110" s="367"/>
      <c r="F110" s="367"/>
      <c r="G110" s="367"/>
    </row>
    <row r="111" spans="2:8">
      <c r="B111" s="367"/>
      <c r="C111" s="367"/>
      <c r="D111" s="367"/>
      <c r="E111" s="395">
        <v>2025</v>
      </c>
      <c r="F111" s="367"/>
      <c r="G111" s="367"/>
    </row>
    <row r="112" spans="2:8">
      <c r="B112" s="367"/>
      <c r="C112" s="367"/>
      <c r="D112" s="367"/>
      <c r="E112" s="371"/>
      <c r="F112" s="367"/>
      <c r="G112" s="367"/>
    </row>
    <row r="113" spans="2:7">
      <c r="B113" s="367" t="s">
        <v>560</v>
      </c>
      <c r="C113" s="367"/>
      <c r="D113" s="367"/>
      <c r="E113" s="367"/>
      <c r="F113" s="367"/>
      <c r="G113" s="367"/>
    </row>
    <row r="114" spans="2:7">
      <c r="B114" s="367" t="s">
        <v>561</v>
      </c>
      <c r="C114" s="367"/>
      <c r="D114" s="367"/>
      <c r="E114" s="396">
        <f>+E20</f>
        <v>2.1037883414620432E-3</v>
      </c>
      <c r="F114" s="373" t="s">
        <v>532</v>
      </c>
      <c r="G114" s="367"/>
    </row>
    <row r="115" spans="2:7">
      <c r="B115" s="367"/>
      <c r="C115" s="367"/>
      <c r="D115" s="367"/>
      <c r="E115" s="367"/>
      <c r="F115" s="367"/>
      <c r="G115" s="367"/>
    </row>
    <row r="116" spans="2:7">
      <c r="B116" s="367" t="s">
        <v>562</v>
      </c>
      <c r="C116" s="367"/>
      <c r="D116" s="367"/>
      <c r="E116" s="367"/>
      <c r="F116" s="367"/>
      <c r="G116" s="367"/>
    </row>
    <row r="117" spans="2:7">
      <c r="B117" s="367" t="s">
        <v>563</v>
      </c>
      <c r="C117" s="367"/>
      <c r="D117" s="367"/>
      <c r="E117" s="397">
        <f>+E28</f>
        <v>3754842</v>
      </c>
      <c r="F117" s="373" t="s">
        <v>383</v>
      </c>
      <c r="G117" s="367"/>
    </row>
    <row r="118" spans="2:7">
      <c r="B118" s="367"/>
      <c r="C118" s="367"/>
      <c r="D118" s="367"/>
      <c r="E118" s="367"/>
      <c r="F118" s="367"/>
      <c r="G118" s="367"/>
    </row>
    <row r="119" spans="2:7">
      <c r="B119" s="367" t="s">
        <v>564</v>
      </c>
      <c r="C119" s="367"/>
      <c r="D119" s="367"/>
      <c r="E119" s="398">
        <f>+E114*5609136993</f>
        <v>11800437.011536863</v>
      </c>
      <c r="F119" s="373" t="s">
        <v>604</v>
      </c>
      <c r="G119" s="367"/>
    </row>
    <row r="120" spans="2:7">
      <c r="B120" s="367"/>
      <c r="C120" s="367"/>
      <c r="D120" s="367"/>
      <c r="E120" s="367"/>
      <c r="F120" s="384" t="s">
        <v>565</v>
      </c>
      <c r="G120" s="367"/>
    </row>
    <row r="121" spans="2:7">
      <c r="B121" s="367"/>
      <c r="C121" s="367"/>
      <c r="D121" s="367"/>
      <c r="E121" s="367"/>
      <c r="F121" s="367"/>
      <c r="G121" s="367"/>
    </row>
    <row r="122" spans="2:7">
      <c r="B122" s="367" t="s">
        <v>566</v>
      </c>
      <c r="C122" s="367"/>
      <c r="D122" s="367"/>
      <c r="E122" s="367"/>
      <c r="F122" s="367"/>
      <c r="G122" s="367"/>
    </row>
    <row r="123" spans="2:7">
      <c r="B123" s="367" t="s">
        <v>567</v>
      </c>
      <c r="C123" s="367"/>
      <c r="D123" s="367"/>
      <c r="E123" s="367"/>
      <c r="F123" s="367"/>
      <c r="G123" s="367"/>
    </row>
    <row r="124" spans="2:7">
      <c r="B124" s="367" t="s">
        <v>568</v>
      </c>
      <c r="C124" s="367"/>
      <c r="D124" s="367"/>
      <c r="E124" s="399">
        <v>0.31819999999999998</v>
      </c>
      <c r="F124" s="373" t="s">
        <v>569</v>
      </c>
      <c r="G124" s="367"/>
    </row>
    <row r="125" spans="2:7">
      <c r="B125" s="367"/>
      <c r="C125" s="367"/>
      <c r="D125" s="367"/>
      <c r="E125" s="367"/>
      <c r="F125" s="367"/>
      <c r="G125" s="367"/>
    </row>
    <row r="126" spans="2:7">
      <c r="B126" s="367" t="s">
        <v>570</v>
      </c>
      <c r="C126" s="367"/>
      <c r="D126" s="367"/>
      <c r="E126" s="367"/>
      <c r="F126" s="367"/>
      <c r="G126" s="367"/>
    </row>
    <row r="127" spans="2:7">
      <c r="B127" s="367" t="s">
        <v>571</v>
      </c>
      <c r="C127" s="367"/>
      <c r="D127" s="367"/>
      <c r="E127" s="367"/>
      <c r="F127" s="367"/>
      <c r="G127" s="367"/>
    </row>
    <row r="128" spans="2:7">
      <c r="B128" s="367" t="s">
        <v>561</v>
      </c>
      <c r="C128" s="367"/>
      <c r="D128" s="367"/>
      <c r="E128" s="400">
        <v>0.46989999999999998</v>
      </c>
      <c r="F128" s="373" t="s">
        <v>572</v>
      </c>
      <c r="G128" s="367"/>
    </row>
    <row r="129" spans="2:7">
      <c r="B129" s="367"/>
      <c r="C129" s="367"/>
      <c r="D129" s="367"/>
      <c r="E129" s="367"/>
      <c r="F129" s="367"/>
      <c r="G129" s="367"/>
    </row>
    <row r="130" spans="2:7">
      <c r="B130" s="367"/>
      <c r="C130" s="367"/>
      <c r="D130" s="367"/>
      <c r="E130" s="367"/>
      <c r="F130" s="367"/>
      <c r="G130" s="367"/>
    </row>
    <row r="131" spans="2:7">
      <c r="B131" s="367" t="s">
        <v>573</v>
      </c>
      <c r="C131" s="367"/>
      <c r="D131" s="367"/>
      <c r="E131" s="367"/>
      <c r="F131" s="367"/>
      <c r="G131" s="367"/>
    </row>
    <row r="132" spans="2:7">
      <c r="B132" s="367"/>
      <c r="C132" s="367"/>
      <c r="D132" s="367"/>
      <c r="E132" s="367"/>
      <c r="F132" s="367"/>
      <c r="G132" s="367"/>
    </row>
    <row r="133" spans="2:7">
      <c r="B133" s="367"/>
      <c r="C133" s="367"/>
      <c r="D133" s="367"/>
      <c r="E133" s="395">
        <v>2025</v>
      </c>
      <c r="F133" s="367"/>
      <c r="G133" s="367"/>
    </row>
    <row r="134" spans="2:7">
      <c r="B134" s="367"/>
      <c r="C134" s="367"/>
      <c r="D134" s="367"/>
      <c r="E134" s="371"/>
      <c r="F134" s="367"/>
      <c r="G134" s="367"/>
    </row>
    <row r="135" spans="2:7">
      <c r="B135" s="367" t="s">
        <v>574</v>
      </c>
      <c r="C135" s="367"/>
      <c r="D135" s="367"/>
      <c r="E135" s="398">
        <f>+E9</f>
        <v>268000</v>
      </c>
      <c r="F135" s="373" t="s">
        <v>525</v>
      </c>
      <c r="G135" s="367"/>
    </row>
    <row r="136" spans="2:7">
      <c r="B136" s="367"/>
      <c r="C136" s="367"/>
      <c r="D136" s="367"/>
      <c r="E136" s="367"/>
      <c r="F136" s="367"/>
      <c r="G136" s="367"/>
    </row>
    <row r="137" spans="2:7">
      <c r="B137" s="367" t="s">
        <v>575</v>
      </c>
      <c r="C137" s="367"/>
      <c r="D137" s="367"/>
      <c r="E137" s="367"/>
      <c r="F137" s="367"/>
      <c r="G137" s="367"/>
    </row>
    <row r="138" spans="2:7">
      <c r="B138" s="367" t="s">
        <v>576</v>
      </c>
      <c r="C138" s="367"/>
      <c r="D138" s="367"/>
      <c r="E138" s="394">
        <f>+E9</f>
        <v>268000</v>
      </c>
      <c r="F138" s="373" t="s">
        <v>569</v>
      </c>
      <c r="G138" s="367"/>
    </row>
    <row r="139" spans="2:7">
      <c r="B139" s="367"/>
      <c r="C139" s="367"/>
      <c r="D139" s="367"/>
      <c r="E139" s="394"/>
      <c r="F139" s="367"/>
      <c r="G139" s="367"/>
    </row>
    <row r="140" spans="2:7" ht="15.75" thickBot="1">
      <c r="B140" s="367" t="s">
        <v>577</v>
      </c>
      <c r="C140" s="367"/>
      <c r="D140" s="367"/>
      <c r="E140" s="401">
        <v>0</v>
      </c>
      <c r="F140" s="367"/>
      <c r="G140" s="367"/>
    </row>
    <row r="141" spans="2:7" ht="15.75" thickTop="1">
      <c r="B141" s="367"/>
      <c r="C141" s="367"/>
      <c r="D141" s="367"/>
      <c r="E141" s="367"/>
      <c r="F141" s="367"/>
      <c r="G141" s="367"/>
    </row>
    <row r="142" spans="2:7">
      <c r="B142" s="367" t="s">
        <v>578</v>
      </c>
      <c r="C142" s="367"/>
      <c r="D142" s="367"/>
      <c r="E142" s="398">
        <f>+E11</f>
        <v>13400000</v>
      </c>
      <c r="F142" s="373" t="s">
        <v>605</v>
      </c>
      <c r="G142" s="367"/>
    </row>
    <row r="143" spans="2:7">
      <c r="B143" s="367"/>
      <c r="C143" s="367"/>
      <c r="D143" s="367"/>
      <c r="E143" s="367"/>
      <c r="F143" s="384" t="s">
        <v>579</v>
      </c>
      <c r="G143" s="367"/>
    </row>
    <row r="144" spans="2:7">
      <c r="B144" s="367" t="s">
        <v>580</v>
      </c>
      <c r="C144" s="367"/>
      <c r="D144" s="367"/>
      <c r="E144" s="367"/>
      <c r="F144" s="367"/>
      <c r="G144" s="367"/>
    </row>
    <row r="145" spans="2:7">
      <c r="B145" s="367" t="s">
        <v>581</v>
      </c>
      <c r="C145" s="367"/>
      <c r="D145" s="367"/>
      <c r="E145" s="399">
        <f>+E138/E142</f>
        <v>0.02</v>
      </c>
      <c r="F145" s="373" t="s">
        <v>569</v>
      </c>
      <c r="G145" s="367"/>
    </row>
  </sheetData>
  <sheetProtection algorithmName="SHA-512" hashValue="/kOSv8DMQ/SieYt6qKE3qPMlUYTo2XrMHAFxasKc5DoSFuAd7nD12BX99eT8lPwweDizC7iABgtgPyQ9x6Fiew==" saltValue="Pjx2vf1P3NyaLHoUJchM6Q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32"/>
  <sheetViews>
    <sheetView view="pageBreakPreview" topLeftCell="A537" zoomScale="85" zoomScaleNormal="100" zoomScaleSheetLayoutView="85" workbookViewId="0">
      <selection activeCell="D567" sqref="D567"/>
    </sheetView>
  </sheetViews>
  <sheetFormatPr defaultColWidth="9.42578125" defaultRowHeight="12.75"/>
  <cols>
    <col min="1" max="1" width="12.42578125" style="6" customWidth="1"/>
    <col min="2" max="2" width="67.5703125" style="6" customWidth="1"/>
    <col min="3" max="3" width="17.5703125" style="6" customWidth="1"/>
    <col min="4" max="4" width="15.5703125" style="6" customWidth="1"/>
    <col min="5" max="5" width="69.5703125" style="6" bestFit="1" customWidth="1"/>
    <col min="6" max="6" width="22.5703125" style="6" bestFit="1" customWidth="1"/>
    <col min="7" max="7" width="25.42578125" style="6" bestFit="1" customWidth="1"/>
    <col min="8" max="8" width="21.5703125" style="6" bestFit="1" customWidth="1"/>
    <col min="9" max="16384" width="9.42578125" style="6"/>
  </cols>
  <sheetData>
    <row r="1" spans="1:8" s="132" customFormat="1" ht="18" customHeight="1">
      <c r="A1" s="429" t="s">
        <v>381</v>
      </c>
      <c r="B1" s="429"/>
      <c r="C1" s="429"/>
      <c r="D1" s="429"/>
    </row>
    <row r="2" spans="1:8" s="132" customFormat="1" ht="15.75" customHeight="1">
      <c r="A2" s="430" t="s">
        <v>382</v>
      </c>
      <c r="B2" s="430"/>
      <c r="C2" s="430"/>
      <c r="D2" s="430"/>
    </row>
    <row r="3" spans="1:8" s="132" customFormat="1" ht="15.75" customHeight="1">
      <c r="A3" s="430" t="s">
        <v>490</v>
      </c>
      <c r="B3" s="430"/>
      <c r="C3" s="430"/>
      <c r="D3" s="430"/>
    </row>
    <row r="4" spans="1:8" s="132" customFormat="1" ht="10.35" customHeight="1"/>
    <row r="5" spans="1:8" s="132" customFormat="1" ht="3.75" hidden="1" customHeight="1"/>
    <row r="6" spans="1:8" ht="44.25" customHeight="1">
      <c r="A6" s="52" t="s">
        <v>0</v>
      </c>
      <c r="B6" s="53" t="s">
        <v>1</v>
      </c>
      <c r="C6" s="52" t="s">
        <v>519</v>
      </c>
      <c r="D6" s="52" t="s">
        <v>2</v>
      </c>
    </row>
    <row r="7" spans="1:8">
      <c r="A7" s="20"/>
      <c r="B7" s="21"/>
      <c r="C7" s="20" t="s">
        <v>3</v>
      </c>
      <c r="D7" s="21" t="s">
        <v>4</v>
      </c>
    </row>
    <row r="8" spans="1:8" s="132" customFormat="1">
      <c r="A8" s="20"/>
      <c r="B8" s="21"/>
      <c r="C8" s="20"/>
      <c r="D8" s="21"/>
    </row>
    <row r="9" spans="1:8">
      <c r="A9" s="298">
        <v>1341</v>
      </c>
      <c r="B9" s="299" t="s">
        <v>5</v>
      </c>
      <c r="C9" s="300">
        <f t="shared" ref="C9:C40" si="0">+VLOOKUP(A9,$D$321:$F$629,3,FALSE)</f>
        <v>30679831</v>
      </c>
      <c r="D9" s="301">
        <f t="shared" ref="D9:D40" si="1">+C9/$C$316</f>
        <v>0.24088926914915942</v>
      </c>
      <c r="E9" s="269"/>
      <c r="F9" s="254">
        <f>VLOOKUP(A9,'OPEB Amounts_Report'!$A$10:$A$324,1,FALSE)</f>
        <v>1341</v>
      </c>
      <c r="G9" s="116"/>
      <c r="H9" s="117"/>
    </row>
    <row r="10" spans="1:8">
      <c r="A10" s="193">
        <v>2308</v>
      </c>
      <c r="B10" s="194" t="s">
        <v>6</v>
      </c>
      <c r="C10" s="198">
        <f t="shared" si="0"/>
        <v>58318</v>
      </c>
      <c r="D10" s="200">
        <f t="shared" si="1"/>
        <v>4.5789627714183558E-4</v>
      </c>
      <c r="E10" s="269"/>
      <c r="F10" s="254">
        <f>VLOOKUP(A10,'OPEB Amounts_Report'!$A$10:$A$324,1,FALSE)</f>
        <v>2308</v>
      </c>
      <c r="G10" s="116"/>
      <c r="H10" s="117"/>
    </row>
    <row r="11" spans="1:8">
      <c r="A11" s="195">
        <v>2340</v>
      </c>
      <c r="B11" s="196" t="s">
        <v>7</v>
      </c>
      <c r="C11" s="199">
        <f t="shared" si="0"/>
        <v>56517</v>
      </c>
      <c r="D11" s="201">
        <f t="shared" si="1"/>
        <v>4.437553396074132E-4</v>
      </c>
      <c r="E11" s="269"/>
      <c r="F11" s="254">
        <f>VLOOKUP(A11,'OPEB Amounts_Report'!$A$10:$A$324,1,FALSE)</f>
        <v>2340</v>
      </c>
      <c r="G11" s="116"/>
      <c r="H11" s="117"/>
    </row>
    <row r="12" spans="1:8">
      <c r="A12" s="193">
        <v>1301</v>
      </c>
      <c r="B12" s="194" t="s">
        <v>8</v>
      </c>
      <c r="C12" s="198">
        <f t="shared" si="0"/>
        <v>65256</v>
      </c>
      <c r="D12" s="200">
        <f t="shared" si="1"/>
        <v>5.1237147126389148E-4</v>
      </c>
      <c r="E12" s="269"/>
      <c r="F12" s="254">
        <f>VLOOKUP(A12,'OPEB Amounts_Report'!$A$10:$A$324,1,FALSE)</f>
        <v>1301</v>
      </c>
      <c r="G12" s="116"/>
      <c r="H12" s="117"/>
    </row>
    <row r="13" spans="1:8">
      <c r="A13" s="195">
        <v>2390</v>
      </c>
      <c r="B13" s="196" t="s">
        <v>9</v>
      </c>
      <c r="C13" s="199">
        <f t="shared" si="0"/>
        <v>51993</v>
      </c>
      <c r="D13" s="201">
        <f t="shared" si="1"/>
        <v>4.0823418391295067E-4</v>
      </c>
      <c r="E13" s="269"/>
      <c r="F13" s="254">
        <f>VLOOKUP(A13,'OPEB Amounts_Report'!$A$10:$A$324,1,FALSE)</f>
        <v>2390</v>
      </c>
      <c r="G13" s="116"/>
      <c r="H13" s="117"/>
    </row>
    <row r="14" spans="1:8">
      <c r="A14" s="193">
        <v>2441</v>
      </c>
      <c r="B14" s="194" t="s">
        <v>419</v>
      </c>
      <c r="C14" s="198">
        <f t="shared" si="0"/>
        <v>23967</v>
      </c>
      <c r="D14" s="200">
        <f t="shared" si="1"/>
        <v>1.8818203769433749E-4</v>
      </c>
      <c r="E14" s="269"/>
      <c r="F14" s="254">
        <f>VLOOKUP(A14,'OPEB Amounts_Report'!$A$10:$A$324,1,FALSE)</f>
        <v>2441</v>
      </c>
      <c r="G14" s="116"/>
      <c r="H14" s="117"/>
    </row>
    <row r="15" spans="1:8" s="132" customFormat="1">
      <c r="A15" s="195">
        <v>15046</v>
      </c>
      <c r="B15" s="196" t="s">
        <v>10</v>
      </c>
      <c r="C15" s="199">
        <f t="shared" si="0"/>
        <v>961525</v>
      </c>
      <c r="D15" s="201">
        <f t="shared" si="1"/>
        <v>7.5496196350835669E-3</v>
      </c>
      <c r="E15" s="269"/>
      <c r="F15" s="254">
        <f>VLOOKUP(A15,'OPEB Amounts_Report'!$A$10:$A$324,1,FALSE)</f>
        <v>15046</v>
      </c>
      <c r="G15" s="116"/>
      <c r="H15" s="117"/>
    </row>
    <row r="16" spans="1:8">
      <c r="A16" s="193">
        <v>4380</v>
      </c>
      <c r="B16" s="194" t="s">
        <v>11</v>
      </c>
      <c r="C16" s="198">
        <f t="shared" si="0"/>
        <v>787897</v>
      </c>
      <c r="D16" s="200">
        <f t="shared" si="1"/>
        <v>6.186342176878851E-3</v>
      </c>
      <c r="E16" s="269"/>
      <c r="F16" s="254">
        <f>VLOOKUP(A16,'OPEB Amounts_Report'!$A$10:$A$324,1,FALSE)</f>
        <v>4380</v>
      </c>
      <c r="G16" s="116"/>
      <c r="H16" s="117"/>
    </row>
    <row r="17" spans="1:8">
      <c r="A17" s="195">
        <v>2343</v>
      </c>
      <c r="B17" s="196" t="s">
        <v>420</v>
      </c>
      <c r="C17" s="199">
        <f t="shared" si="0"/>
        <v>75969</v>
      </c>
      <c r="D17" s="201">
        <f t="shared" si="1"/>
        <v>5.9648688703638859E-4</v>
      </c>
      <c r="E17" s="269"/>
      <c r="F17" s="254">
        <f>VLOOKUP(A17,'OPEB Amounts_Report'!$A$10:$A$324,1,FALSE)</f>
        <v>2343</v>
      </c>
      <c r="G17" s="116"/>
      <c r="H17" s="117"/>
    </row>
    <row r="18" spans="1:8" s="132" customFormat="1">
      <c r="A18" s="193">
        <v>2435</v>
      </c>
      <c r="B18" s="194" t="s">
        <v>396</v>
      </c>
      <c r="C18" s="198">
        <f t="shared" si="0"/>
        <v>30149</v>
      </c>
      <c r="D18" s="200">
        <f t="shared" si="1"/>
        <v>2.3672133577196065E-4</v>
      </c>
      <c r="E18" s="269"/>
      <c r="F18" s="254">
        <f>VLOOKUP(A18,'OPEB Amounts_Report'!$A$10:$A$324,1,FALSE)</f>
        <v>2435</v>
      </c>
      <c r="G18" s="116"/>
      <c r="H18" s="117"/>
    </row>
    <row r="19" spans="1:8">
      <c r="A19" s="195">
        <v>4560</v>
      </c>
      <c r="B19" s="196" t="s">
        <v>12</v>
      </c>
      <c r="C19" s="199">
        <f t="shared" si="0"/>
        <v>76653</v>
      </c>
      <c r="D19" s="201">
        <f t="shared" si="1"/>
        <v>6.0185745964801813E-4</v>
      </c>
      <c r="E19" s="269"/>
      <c r="F19" s="254">
        <f>VLOOKUP(A19,'OPEB Amounts_Report'!$A$10:$A$324,1,FALSE)</f>
        <v>4560</v>
      </c>
      <c r="G19" s="116"/>
      <c r="H19" s="117"/>
    </row>
    <row r="20" spans="1:8">
      <c r="A20" s="193">
        <v>2341</v>
      </c>
      <c r="B20" s="194" t="s">
        <v>417</v>
      </c>
      <c r="C20" s="198">
        <f t="shared" si="0"/>
        <v>43421</v>
      </c>
      <c r="D20" s="200">
        <f t="shared" si="1"/>
        <v>3.4092928855200186E-4</v>
      </c>
      <c r="E20" s="269"/>
      <c r="F20" s="254">
        <f>VLOOKUP(A20,'OPEB Amounts_Report'!$A$10:$A$324,1,FALSE)</f>
        <v>2341</v>
      </c>
      <c r="G20" s="116"/>
      <c r="H20" s="117"/>
    </row>
    <row r="21" spans="1:8">
      <c r="A21" s="195">
        <v>4580</v>
      </c>
      <c r="B21" s="196" t="s">
        <v>397</v>
      </c>
      <c r="C21" s="199">
        <f t="shared" si="0"/>
        <v>44516</v>
      </c>
      <c r="D21" s="201">
        <f t="shared" si="1"/>
        <v>3.4952691575921592E-4</v>
      </c>
      <c r="E21" s="269"/>
      <c r="F21" s="254">
        <f>VLOOKUP(A21,'OPEB Amounts_Report'!$A$10:$A$324,1,FALSE)</f>
        <v>4580</v>
      </c>
      <c r="G21" s="116"/>
      <c r="H21" s="117"/>
    </row>
    <row r="22" spans="1:8">
      <c r="A22" s="193">
        <v>2003</v>
      </c>
      <c r="B22" s="194" t="s">
        <v>13</v>
      </c>
      <c r="C22" s="198">
        <f t="shared" si="0"/>
        <v>14087128</v>
      </c>
      <c r="D22" s="200">
        <f t="shared" si="1"/>
        <v>0.11060810499023478</v>
      </c>
      <c r="E22" s="269"/>
      <c r="F22" s="254">
        <f>VLOOKUP(A22,'OPEB Amounts_Report'!$A$10:$A$324,1,FALSE)</f>
        <v>2003</v>
      </c>
      <c r="G22" s="116"/>
      <c r="H22" s="117"/>
    </row>
    <row r="23" spans="1:8">
      <c r="A23" s="195">
        <v>2412</v>
      </c>
      <c r="B23" s="196" t="s">
        <v>14</v>
      </c>
      <c r="C23" s="199">
        <f t="shared" si="0"/>
        <v>136033</v>
      </c>
      <c r="D23" s="201">
        <f t="shared" si="1"/>
        <v>1.0680922574236996E-3</v>
      </c>
      <c r="E23" s="269"/>
      <c r="F23" s="254">
        <f>VLOOKUP(A23,'OPEB Amounts_Report'!$A$10:$A$324,1,FALSE)</f>
        <v>2412</v>
      </c>
      <c r="G23" s="116"/>
      <c r="H23" s="117"/>
    </row>
    <row r="24" spans="1:8">
      <c r="A24" s="193">
        <v>2402</v>
      </c>
      <c r="B24" s="194" t="s">
        <v>15</v>
      </c>
      <c r="C24" s="198">
        <f t="shared" si="0"/>
        <v>67533</v>
      </c>
      <c r="D24" s="200">
        <f t="shared" si="1"/>
        <v>5.3024982482629006E-4</v>
      </c>
      <c r="E24" s="269"/>
      <c r="F24" s="254">
        <f>VLOOKUP(A24,'OPEB Amounts_Report'!$A$10:$A$324,1,FALSE)</f>
        <v>2402</v>
      </c>
      <c r="G24" s="116"/>
      <c r="H24" s="117"/>
    </row>
    <row r="25" spans="1:8">
      <c r="A25" s="195">
        <v>2361</v>
      </c>
      <c r="B25" s="196" t="s">
        <v>16</v>
      </c>
      <c r="C25" s="199">
        <f t="shared" si="0"/>
        <v>22735</v>
      </c>
      <c r="D25" s="201">
        <f t="shared" si="1"/>
        <v>1.7850872562192861E-4</v>
      </c>
      <c r="E25" s="269"/>
      <c r="F25" s="254">
        <f>VLOOKUP(A25,'OPEB Amounts_Report'!$A$10:$A$324,1,FALSE)</f>
        <v>2361</v>
      </c>
      <c r="G25" s="116"/>
      <c r="H25" s="117"/>
    </row>
    <row r="26" spans="1:8" s="132" customFormat="1">
      <c r="A26" s="193">
        <v>8347</v>
      </c>
      <c r="B26" s="194" t="s">
        <v>17</v>
      </c>
      <c r="C26" s="198">
        <f t="shared" si="0"/>
        <v>42942</v>
      </c>
      <c r="D26" s="200">
        <f t="shared" si="1"/>
        <v>3.371683173809922E-4</v>
      </c>
      <c r="E26" s="269"/>
      <c r="F26" s="254">
        <f>VLOOKUP(A26,'OPEB Amounts_Report'!$A$10:$A$324,1,FALSE)</f>
        <v>8347</v>
      </c>
      <c r="G26" s="116"/>
      <c r="H26" s="117"/>
    </row>
    <row r="27" spans="1:8">
      <c r="A27" s="195">
        <v>2356</v>
      </c>
      <c r="B27" s="196" t="s">
        <v>18</v>
      </c>
      <c r="C27" s="199">
        <f t="shared" si="0"/>
        <v>77333</v>
      </c>
      <c r="D27" s="201">
        <f t="shared" si="1"/>
        <v>6.0719662540226985E-4</v>
      </c>
      <c r="E27" s="269"/>
      <c r="F27" s="254">
        <f>VLOOKUP(A27,'OPEB Amounts_Report'!$A$10:$A$324,1,FALSE)</f>
        <v>2356</v>
      </c>
      <c r="G27" s="116"/>
      <c r="H27" s="117"/>
    </row>
    <row r="28" spans="1:8">
      <c r="A28" s="193">
        <v>7335</v>
      </c>
      <c r="B28" s="194" t="s">
        <v>19</v>
      </c>
      <c r="C28" s="198">
        <f t="shared" si="0"/>
        <v>21347</v>
      </c>
      <c r="D28" s="200">
        <f t="shared" si="1"/>
        <v>1.6761054611177963E-4</v>
      </c>
      <c r="E28" s="269"/>
      <c r="F28" s="254">
        <f>VLOOKUP(A28,'OPEB Amounts_Report'!$A$10:$A$324,1,FALSE)</f>
        <v>7335</v>
      </c>
      <c r="G28" s="116"/>
      <c r="H28" s="117"/>
    </row>
    <row r="29" spans="1:8">
      <c r="A29" s="195">
        <v>575</v>
      </c>
      <c r="B29" s="196" t="s">
        <v>398</v>
      </c>
      <c r="C29" s="199">
        <f t="shared" si="0"/>
        <v>27670</v>
      </c>
      <c r="D29" s="201">
        <f t="shared" si="1"/>
        <v>2.1725693591197556E-4</v>
      </c>
      <c r="E29" s="269"/>
      <c r="F29" s="254">
        <f>VLOOKUP(A29,'OPEB Amounts_Report'!$A$10:$A$324,1,FALSE)</f>
        <v>575</v>
      </c>
      <c r="G29" s="116"/>
      <c r="H29" s="117"/>
    </row>
    <row r="30" spans="1:8">
      <c r="A30" s="193">
        <v>2303</v>
      </c>
      <c r="B30" s="194" t="s">
        <v>20</v>
      </c>
      <c r="C30" s="198">
        <f t="shared" si="0"/>
        <v>47813</v>
      </c>
      <c r="D30" s="200">
        <f t="shared" si="1"/>
        <v>3.7541401795299198E-4</v>
      </c>
      <c r="E30" s="269"/>
      <c r="F30" s="254">
        <f>VLOOKUP(A30,'OPEB Amounts_Report'!$A$10:$A$324,1,FALSE)</f>
        <v>2303</v>
      </c>
      <c r="G30" s="116"/>
      <c r="H30" s="117"/>
    </row>
    <row r="31" spans="1:8">
      <c r="A31" s="195">
        <v>20316</v>
      </c>
      <c r="B31" s="196" t="s">
        <v>21</v>
      </c>
      <c r="C31" s="199">
        <f t="shared" si="0"/>
        <v>33803</v>
      </c>
      <c r="D31" s="201">
        <f t="shared" si="1"/>
        <v>2.6541149998671881E-4</v>
      </c>
      <c r="E31" s="269"/>
      <c r="F31" s="254">
        <f>VLOOKUP(A31,'OPEB Amounts_Report'!$A$10:$A$324,1,FALSE)</f>
        <v>20316</v>
      </c>
      <c r="G31" s="116"/>
      <c r="H31" s="117"/>
    </row>
    <row r="32" spans="1:8">
      <c r="A32" s="193">
        <v>23121</v>
      </c>
      <c r="B32" s="194" t="s">
        <v>22</v>
      </c>
      <c r="C32" s="198">
        <f t="shared" si="0"/>
        <v>41285</v>
      </c>
      <c r="D32" s="200">
        <f t="shared" si="1"/>
        <v>3.2415802671217605E-4</v>
      </c>
      <c r="E32" s="269"/>
      <c r="F32" s="254">
        <f>VLOOKUP(A32,'OPEB Amounts_Report'!$A$10:$A$324,1,FALSE)</f>
        <v>23121</v>
      </c>
      <c r="G32" s="116"/>
      <c r="H32" s="117"/>
    </row>
    <row r="33" spans="1:8">
      <c r="A33" s="195">
        <v>3004</v>
      </c>
      <c r="B33" s="196" t="s">
        <v>23</v>
      </c>
      <c r="C33" s="199">
        <f t="shared" si="0"/>
        <v>603295</v>
      </c>
      <c r="D33" s="201">
        <f t="shared" si="1"/>
        <v>4.7369000054577268E-3</v>
      </c>
      <c r="E33" s="269"/>
      <c r="F33" s="254">
        <f>VLOOKUP(A33,'OPEB Amounts_Report'!$A$10:$A$324,1,FALSE)</f>
        <v>3004</v>
      </c>
      <c r="G33" s="116"/>
      <c r="H33" s="117"/>
    </row>
    <row r="34" spans="1:8">
      <c r="A34" s="193">
        <v>16050</v>
      </c>
      <c r="B34" s="194" t="s">
        <v>24</v>
      </c>
      <c r="C34" s="198">
        <f t="shared" si="0"/>
        <v>395643</v>
      </c>
      <c r="D34" s="200">
        <f t="shared" si="1"/>
        <v>3.1064758183961599E-3</v>
      </c>
      <c r="E34" s="269"/>
      <c r="F34" s="254">
        <f>VLOOKUP(A34,'OPEB Amounts_Report'!$A$10:$A$324,1,FALSE)</f>
        <v>16050</v>
      </c>
      <c r="G34" s="116"/>
      <c r="H34" s="117"/>
    </row>
    <row r="35" spans="1:8">
      <c r="A35" s="195">
        <v>14043</v>
      </c>
      <c r="B35" s="196" t="s">
        <v>25</v>
      </c>
      <c r="C35" s="199">
        <f t="shared" si="0"/>
        <v>604735</v>
      </c>
      <c r="D35" s="201">
        <f t="shared" si="1"/>
        <v>4.7482064741137886E-3</v>
      </c>
      <c r="E35" s="269"/>
      <c r="F35" s="254">
        <f>VLOOKUP(A35,'OPEB Amounts_Report'!$A$10:$A$324,1,FALSE)</f>
        <v>14043</v>
      </c>
      <c r="G35" s="116"/>
      <c r="H35" s="117"/>
    </row>
    <row r="36" spans="1:8">
      <c r="A36" s="193">
        <v>3010</v>
      </c>
      <c r="B36" s="194" t="s">
        <v>26</v>
      </c>
      <c r="C36" s="198">
        <f t="shared" si="0"/>
        <v>3693592</v>
      </c>
      <c r="D36" s="200">
        <f t="shared" si="1"/>
        <v>2.9001029289085132E-2</v>
      </c>
      <c r="E36" s="269"/>
      <c r="F36" s="254">
        <f>VLOOKUP(A36,'OPEB Amounts_Report'!$A$10:$A$324,1,FALSE)</f>
        <v>3010</v>
      </c>
      <c r="G36" s="116"/>
      <c r="H36" s="117"/>
    </row>
    <row r="37" spans="1:8">
      <c r="A37" s="195">
        <v>29086</v>
      </c>
      <c r="B37" s="196" t="s">
        <v>27</v>
      </c>
      <c r="C37" s="199">
        <f t="shared" si="0"/>
        <v>685763</v>
      </c>
      <c r="D37" s="201">
        <f t="shared" si="1"/>
        <v>5.3844151840189407E-3</v>
      </c>
      <c r="E37" s="269"/>
      <c r="F37" s="254">
        <f>VLOOKUP(A37,'OPEB Amounts_Report'!$A$10:$A$324,1,FALSE)</f>
        <v>29086</v>
      </c>
      <c r="G37" s="116"/>
      <c r="H37" s="117"/>
    </row>
    <row r="38" spans="1:8">
      <c r="A38" s="193">
        <v>16051</v>
      </c>
      <c r="B38" s="194" t="s">
        <v>28</v>
      </c>
      <c r="C38" s="198">
        <f t="shared" si="0"/>
        <v>475580</v>
      </c>
      <c r="D38" s="200">
        <f t="shared" si="1"/>
        <v>3.7341183079514758E-3</v>
      </c>
      <c r="E38" s="269"/>
      <c r="F38" s="254">
        <f>VLOOKUP(A38,'OPEB Amounts_Report'!$A$10:$A$324,1,FALSE)</f>
        <v>16051</v>
      </c>
      <c r="G38" s="116"/>
      <c r="H38" s="117"/>
    </row>
    <row r="39" spans="1:8">
      <c r="A39" s="195">
        <v>26077</v>
      </c>
      <c r="B39" s="196" t="s">
        <v>29</v>
      </c>
      <c r="C39" s="199">
        <f t="shared" si="0"/>
        <v>97057</v>
      </c>
      <c r="D39" s="201">
        <f t="shared" si="1"/>
        <v>7.6206383913294585E-4</v>
      </c>
      <c r="E39" s="269"/>
      <c r="F39" s="254">
        <f>VLOOKUP(A39,'OPEB Amounts_Report'!$A$10:$A$324,1,FALSE)</f>
        <v>26077</v>
      </c>
      <c r="G39" s="116"/>
      <c r="H39" s="117"/>
    </row>
    <row r="40" spans="1:8">
      <c r="A40" s="193">
        <v>3005</v>
      </c>
      <c r="B40" s="194" t="s">
        <v>30</v>
      </c>
      <c r="C40" s="198">
        <f t="shared" si="0"/>
        <v>1220090</v>
      </c>
      <c r="D40" s="200">
        <f t="shared" si="1"/>
        <v>9.5797981545660375E-3</v>
      </c>
      <c r="E40" s="269"/>
      <c r="F40" s="254">
        <f>VLOOKUP(A40,'OPEB Amounts_Report'!$A$10:$A$324,1,FALSE)</f>
        <v>3005</v>
      </c>
      <c r="G40" s="116"/>
      <c r="H40" s="117"/>
    </row>
    <row r="41" spans="1:8">
      <c r="A41" s="195">
        <v>26078</v>
      </c>
      <c r="B41" s="196" t="s">
        <v>31</v>
      </c>
      <c r="C41" s="199">
        <f t="shared" ref="C41:C72" si="2">+VLOOKUP(A41,$D$321:$F$629,3,FALSE)</f>
        <v>39156</v>
      </c>
      <c r="D41" s="201">
        <f t="shared" ref="D41:D72" si="3">+C41/$C$316</f>
        <v>3.0744172687276167E-4</v>
      </c>
      <c r="E41" s="269"/>
      <c r="F41" s="254">
        <f>VLOOKUP(A41,'OPEB Amounts_Report'!$A$10:$A$324,1,FALSE)</f>
        <v>26078</v>
      </c>
      <c r="G41" s="116"/>
      <c r="H41" s="117"/>
    </row>
    <row r="42" spans="1:8">
      <c r="A42" s="193">
        <v>16053</v>
      </c>
      <c r="B42" s="194" t="s">
        <v>32</v>
      </c>
      <c r="C42" s="198">
        <f t="shared" si="2"/>
        <v>1186851</v>
      </c>
      <c r="D42" s="200">
        <f t="shared" si="3"/>
        <v>9.3188150214696102E-3</v>
      </c>
      <c r="E42" s="269"/>
      <c r="F42" s="254">
        <f>VLOOKUP(A42,'OPEB Amounts_Report'!$A$10:$A$324,1,FALSE)</f>
        <v>16053</v>
      </c>
      <c r="G42" s="116"/>
      <c r="H42" s="117"/>
    </row>
    <row r="43" spans="1:8">
      <c r="A43" s="195">
        <v>2123</v>
      </c>
      <c r="B43" s="196" t="s">
        <v>33</v>
      </c>
      <c r="C43" s="199">
        <f t="shared" si="2"/>
        <v>2007551</v>
      </c>
      <c r="D43" s="201">
        <f t="shared" si="3"/>
        <v>1.5762716983990691E-2</v>
      </c>
      <c r="E43" s="269"/>
      <c r="F43" s="254">
        <f>VLOOKUP(A43,'OPEB Amounts_Report'!$A$10:$A$324,1,FALSE)</f>
        <v>2123</v>
      </c>
      <c r="G43" s="116"/>
      <c r="H43" s="117"/>
    </row>
    <row r="44" spans="1:8">
      <c r="A44" s="193">
        <v>2150</v>
      </c>
      <c r="B44" s="194" t="s">
        <v>34</v>
      </c>
      <c r="C44" s="198">
        <f t="shared" si="2"/>
        <v>169184</v>
      </c>
      <c r="D44" s="200">
        <f t="shared" si="3"/>
        <v>1.3283844396578125E-3</v>
      </c>
      <c r="E44" s="269"/>
      <c r="F44" s="254">
        <f>VLOOKUP(A44,'OPEB Amounts_Report'!$A$10:$A$324,1,FALSE)</f>
        <v>2150</v>
      </c>
      <c r="G44" s="116"/>
      <c r="H44" s="117"/>
    </row>
    <row r="45" spans="1:8">
      <c r="A45" s="195">
        <v>2336</v>
      </c>
      <c r="B45" s="196" t="s">
        <v>35</v>
      </c>
      <c r="C45" s="199">
        <f t="shared" si="2"/>
        <v>31859</v>
      </c>
      <c r="D45" s="201">
        <f t="shared" si="3"/>
        <v>2.5014776730103466E-4</v>
      </c>
      <c r="E45" s="269"/>
      <c r="F45" s="254">
        <f>VLOOKUP(A45,'OPEB Amounts_Report'!$A$10:$A$324,1,FALSE)</f>
        <v>2336</v>
      </c>
      <c r="G45" s="116"/>
      <c r="H45" s="117"/>
    </row>
    <row r="46" spans="1:8">
      <c r="A46" s="193">
        <v>17126</v>
      </c>
      <c r="B46" s="194" t="s">
        <v>36</v>
      </c>
      <c r="C46" s="198">
        <f t="shared" si="2"/>
        <v>87420</v>
      </c>
      <c r="D46" s="200">
        <f t="shared" si="3"/>
        <v>6.8639686799511755E-4</v>
      </c>
      <c r="E46" s="269"/>
      <c r="F46" s="254">
        <f>VLOOKUP(A46,'OPEB Amounts_Report'!$A$10:$A$324,1,FALSE)</f>
        <v>17126</v>
      </c>
      <c r="G46" s="116"/>
      <c r="H46" s="117"/>
    </row>
    <row r="47" spans="1:8">
      <c r="A47" s="195">
        <v>3030</v>
      </c>
      <c r="B47" s="196" t="s">
        <v>37</v>
      </c>
      <c r="C47" s="199">
        <f t="shared" si="2"/>
        <v>225300</v>
      </c>
      <c r="D47" s="201">
        <f t="shared" si="3"/>
        <v>1.7689912418130862E-3</v>
      </c>
      <c r="E47" s="269"/>
      <c r="F47" s="254">
        <f>VLOOKUP(A47,'OPEB Amounts_Report'!$A$10:$A$324,1,FALSE)</f>
        <v>3030</v>
      </c>
      <c r="G47" s="116"/>
      <c r="H47" s="117"/>
    </row>
    <row r="48" spans="1:8">
      <c r="A48" s="193">
        <v>2353</v>
      </c>
      <c r="B48" s="194" t="s">
        <v>38</v>
      </c>
      <c r="C48" s="198">
        <f t="shared" si="2"/>
        <v>97864</v>
      </c>
      <c r="D48" s="200">
        <f t="shared" si="3"/>
        <v>7.6840017260894746E-4</v>
      </c>
      <c r="E48" s="269"/>
      <c r="F48" s="254">
        <f>VLOOKUP(A48,'OPEB Amounts_Report'!$A$10:$A$324,1,FALSE)</f>
        <v>2353</v>
      </c>
      <c r="G48" s="116"/>
      <c r="H48" s="117"/>
    </row>
    <row r="49" spans="1:8">
      <c r="A49" s="195">
        <v>3040</v>
      </c>
      <c r="B49" s="196" t="s">
        <v>39</v>
      </c>
      <c r="C49" s="199">
        <f t="shared" si="2"/>
        <v>104754</v>
      </c>
      <c r="D49" s="201">
        <f t="shared" si="3"/>
        <v>8.2249848444246798E-4</v>
      </c>
      <c r="E49" s="269"/>
      <c r="F49" s="254">
        <f>VLOOKUP(A49,'OPEB Amounts_Report'!$A$10:$A$324,1,FALSE)</f>
        <v>3040</v>
      </c>
      <c r="G49" s="116"/>
      <c r="H49" s="117"/>
    </row>
    <row r="50" spans="1:8">
      <c r="A50" s="193">
        <v>2367</v>
      </c>
      <c r="B50" s="194" t="s">
        <v>40</v>
      </c>
      <c r="C50" s="198">
        <f t="shared" si="2"/>
        <v>83979</v>
      </c>
      <c r="D50" s="200">
        <f t="shared" si="3"/>
        <v>6.5937911893573526E-4</v>
      </c>
      <c r="E50" s="269"/>
      <c r="F50" s="254">
        <f>VLOOKUP(A50,'OPEB Amounts_Report'!$A$10:$A$324,1,FALSE)</f>
        <v>2367</v>
      </c>
      <c r="G50" s="116"/>
      <c r="H50" s="117"/>
    </row>
    <row r="51" spans="1:8">
      <c r="A51" s="195">
        <v>9027</v>
      </c>
      <c r="B51" s="196" t="s">
        <v>41</v>
      </c>
      <c r="C51" s="199">
        <f t="shared" si="2"/>
        <v>89169</v>
      </c>
      <c r="D51" s="201">
        <f t="shared" si="3"/>
        <v>7.0012951638362658E-4</v>
      </c>
      <c r="E51" s="269"/>
      <c r="F51" s="254">
        <f>VLOOKUP(A51,'OPEB Amounts_Report'!$A$10:$A$324,1,FALSE)</f>
        <v>9027</v>
      </c>
      <c r="G51" s="116"/>
      <c r="H51" s="117"/>
    </row>
    <row r="52" spans="1:8">
      <c r="A52" s="193">
        <v>2010</v>
      </c>
      <c r="B52" s="194" t="s">
        <v>42</v>
      </c>
      <c r="C52" s="198">
        <f t="shared" si="2"/>
        <v>333647</v>
      </c>
      <c r="D52" s="200">
        <f t="shared" si="3"/>
        <v>2.6197009358952983E-3</v>
      </c>
      <c r="E52" s="269"/>
      <c r="F52" s="254">
        <f>VLOOKUP(A52,'OPEB Amounts_Report'!$A$10:$A$324,1,FALSE)</f>
        <v>2010</v>
      </c>
      <c r="G52" s="116"/>
      <c r="H52" s="117"/>
    </row>
    <row r="53" spans="1:8">
      <c r="A53" s="195">
        <v>2020</v>
      </c>
      <c r="B53" s="196" t="s">
        <v>43</v>
      </c>
      <c r="C53" s="199">
        <f t="shared" si="2"/>
        <v>8280642</v>
      </c>
      <c r="D53" s="201">
        <f t="shared" si="3"/>
        <v>6.5017235572967583E-2</v>
      </c>
      <c r="E53" s="269"/>
      <c r="F53" s="254">
        <f>VLOOKUP(A53,'OPEB Amounts_Report'!$A$10:$A$324,1,FALSE)</f>
        <v>2020</v>
      </c>
      <c r="G53" s="116"/>
      <c r="H53" s="117"/>
    </row>
    <row r="54" spans="1:8">
      <c r="A54" s="193">
        <v>2040</v>
      </c>
      <c r="B54" s="194" t="s">
        <v>44</v>
      </c>
      <c r="C54" s="198">
        <f t="shared" si="2"/>
        <v>112591</v>
      </c>
      <c r="D54" s="200">
        <f t="shared" si="3"/>
        <v>8.840323697602183E-4</v>
      </c>
      <c r="E54" s="269"/>
      <c r="F54" s="254">
        <f>VLOOKUP(A54,'OPEB Amounts_Report'!$A$10:$A$324,1,FALSE)</f>
        <v>2040</v>
      </c>
      <c r="G54" s="116"/>
      <c r="H54" s="117"/>
    </row>
    <row r="55" spans="1:8">
      <c r="A55" s="195">
        <v>2060</v>
      </c>
      <c r="B55" s="196" t="s">
        <v>45</v>
      </c>
      <c r="C55" s="199">
        <f t="shared" si="2"/>
        <v>162512</v>
      </c>
      <c r="D55" s="201">
        <f t="shared" si="3"/>
        <v>1.2759978015513904E-3</v>
      </c>
      <c r="E55" s="269"/>
      <c r="F55" s="254">
        <f>VLOOKUP(A55,'OPEB Amounts_Report'!$A$10:$A$324,1,FALSE)</f>
        <v>2060</v>
      </c>
      <c r="G55" s="116"/>
      <c r="H55" s="117"/>
    </row>
    <row r="56" spans="1:8">
      <c r="A56" s="193">
        <v>2090</v>
      </c>
      <c r="B56" s="194" t="s">
        <v>46</v>
      </c>
      <c r="C56" s="198">
        <f t="shared" si="2"/>
        <v>96193</v>
      </c>
      <c r="D56" s="200">
        <f t="shared" si="3"/>
        <v>7.5527995793930847E-4</v>
      </c>
      <c r="E56" s="269"/>
      <c r="F56" s="254">
        <f>VLOOKUP(A56,'OPEB Amounts_Report'!$A$10:$A$324,1,FALSE)</f>
        <v>2090</v>
      </c>
      <c r="G56" s="116"/>
      <c r="H56" s="117"/>
    </row>
    <row r="57" spans="1:8">
      <c r="A57" s="195">
        <v>2110</v>
      </c>
      <c r="B57" s="223" t="s">
        <v>47</v>
      </c>
      <c r="C57" s="265">
        <f t="shared" si="2"/>
        <v>661744</v>
      </c>
      <c r="D57" s="224">
        <f t="shared" si="3"/>
        <v>5.1958248571786899E-3</v>
      </c>
      <c r="E57" s="269"/>
      <c r="F57" s="254">
        <f>VLOOKUP(A57,'OPEB Amounts_Report'!$A$10:$A$324,1,FALSE)</f>
        <v>2110</v>
      </c>
      <c r="G57" s="116"/>
      <c r="H57" s="117"/>
    </row>
    <row r="58" spans="1:8">
      <c r="A58" s="193">
        <v>2180</v>
      </c>
      <c r="B58" s="194" t="s">
        <v>48</v>
      </c>
      <c r="C58" s="198">
        <f t="shared" si="2"/>
        <v>330494</v>
      </c>
      <c r="D58" s="200">
        <f t="shared" si="3"/>
        <v>2.5949444805671287E-3</v>
      </c>
      <c r="E58" s="269"/>
      <c r="F58" s="254">
        <f>VLOOKUP(A58,'OPEB Amounts_Report'!$A$10:$A$324,1,FALSE)</f>
        <v>2180</v>
      </c>
      <c r="G58" s="116"/>
      <c r="H58" s="117"/>
    </row>
    <row r="59" spans="1:8">
      <c r="A59" s="195">
        <v>2210</v>
      </c>
      <c r="B59" s="196" t="s">
        <v>49</v>
      </c>
      <c r="C59" s="199">
        <f t="shared" si="2"/>
        <v>149140</v>
      </c>
      <c r="D59" s="201">
        <f t="shared" si="3"/>
        <v>1.1710046773369003E-3</v>
      </c>
      <c r="E59" s="269"/>
      <c r="F59" s="254">
        <f>VLOOKUP(A59,'OPEB Amounts_Report'!$A$10:$A$324,1,FALSE)</f>
        <v>2210</v>
      </c>
      <c r="G59" s="116"/>
      <c r="H59" s="117"/>
    </row>
    <row r="60" spans="1:8">
      <c r="A60" s="193">
        <v>2290</v>
      </c>
      <c r="B60" s="194" t="s">
        <v>50</v>
      </c>
      <c r="C60" s="198">
        <f t="shared" si="2"/>
        <v>160562</v>
      </c>
      <c r="D60" s="200">
        <f t="shared" si="3"/>
        <v>1.2606869585796393E-3</v>
      </c>
      <c r="E60" s="269"/>
      <c r="F60" s="254">
        <f>VLOOKUP(A60,'OPEB Amounts_Report'!$A$10:$A$324,1,FALSE)</f>
        <v>2290</v>
      </c>
      <c r="G60" s="116"/>
      <c r="H60" s="117"/>
    </row>
    <row r="61" spans="1:8">
      <c r="A61" s="195">
        <v>2310</v>
      </c>
      <c r="B61" s="196" t="s">
        <v>51</v>
      </c>
      <c r="C61" s="199">
        <f t="shared" si="2"/>
        <v>1162197</v>
      </c>
      <c r="D61" s="201">
        <f t="shared" si="3"/>
        <v>9.1252388560206094E-3</v>
      </c>
      <c r="E61" s="269"/>
      <c r="F61" s="254">
        <f>VLOOKUP(A61,'OPEB Amounts_Report'!$A$10:$A$324,1,FALSE)</f>
        <v>2310</v>
      </c>
      <c r="G61" s="116"/>
      <c r="H61" s="117"/>
    </row>
    <row r="62" spans="1:8">
      <c r="A62" s="193">
        <v>2330</v>
      </c>
      <c r="B62" s="194" t="s">
        <v>52</v>
      </c>
      <c r="C62" s="198">
        <f t="shared" si="2"/>
        <v>367333</v>
      </c>
      <c r="D62" s="200">
        <f t="shared" si="3"/>
        <v>2.8841937853037124E-3</v>
      </c>
      <c r="E62" s="269"/>
      <c r="F62" s="254">
        <f>VLOOKUP(A62,'OPEB Amounts_Report'!$A$10:$A$324,1,FALSE)</f>
        <v>2330</v>
      </c>
      <c r="G62" s="116"/>
      <c r="H62" s="117"/>
    </row>
    <row r="63" spans="1:8">
      <c r="A63" s="195">
        <v>2380</v>
      </c>
      <c r="B63" s="196" t="s">
        <v>53</v>
      </c>
      <c r="C63" s="199">
        <f t="shared" si="2"/>
        <v>72537</v>
      </c>
      <c r="D63" s="201">
        <f t="shared" si="3"/>
        <v>5.6953980340610671E-4</v>
      </c>
      <c r="E63" s="269"/>
      <c r="F63" s="254">
        <f>VLOOKUP(A63,'OPEB Amounts_Report'!$A$10:$A$324,1,FALSE)</f>
        <v>2380</v>
      </c>
      <c r="G63" s="116"/>
      <c r="H63" s="117"/>
    </row>
    <row r="64" spans="1:8">
      <c r="A64" s="193">
        <v>2400</v>
      </c>
      <c r="B64" s="194" t="s">
        <v>54</v>
      </c>
      <c r="C64" s="198">
        <f t="shared" si="2"/>
        <v>2042598</v>
      </c>
      <c r="D64" s="200">
        <f t="shared" si="3"/>
        <v>1.6037896016621953E-2</v>
      </c>
      <c r="E64" s="269"/>
      <c r="F64" s="254">
        <f>VLOOKUP(A64,'OPEB Amounts_Report'!$A$10:$A$324,1,FALSE)</f>
        <v>2400</v>
      </c>
      <c r="G64" s="116"/>
      <c r="H64" s="117"/>
    </row>
    <row r="65" spans="1:8">
      <c r="A65" s="195">
        <v>2410</v>
      </c>
      <c r="B65" s="196" t="s">
        <v>55</v>
      </c>
      <c r="C65" s="199">
        <f t="shared" si="2"/>
        <v>203269</v>
      </c>
      <c r="D65" s="201">
        <f t="shared" si="3"/>
        <v>1.5960101230896768E-3</v>
      </c>
      <c r="E65" s="269"/>
      <c r="F65" s="254">
        <f>VLOOKUP(A65,'OPEB Amounts_Report'!$A$10:$A$324,1,FALSE)</f>
        <v>2410</v>
      </c>
      <c r="G65" s="116"/>
      <c r="H65" s="117"/>
    </row>
    <row r="66" spans="1:8">
      <c r="A66" s="193">
        <v>2500</v>
      </c>
      <c r="B66" s="194" t="s">
        <v>56</v>
      </c>
      <c r="C66" s="198">
        <f t="shared" si="2"/>
        <v>37323</v>
      </c>
      <c r="D66" s="200">
        <f t="shared" si="3"/>
        <v>2.9304953447931566E-4</v>
      </c>
      <c r="E66" s="269"/>
      <c r="F66" s="254">
        <f>VLOOKUP(A66,'OPEB Amounts_Report'!$A$10:$A$324,1,FALSE)</f>
        <v>2500</v>
      </c>
      <c r="G66" s="116"/>
      <c r="H66" s="117"/>
    </row>
    <row r="67" spans="1:8">
      <c r="A67" s="195">
        <v>2550</v>
      </c>
      <c r="B67" s="196" t="s">
        <v>57</v>
      </c>
      <c r="C67" s="199">
        <f t="shared" si="2"/>
        <v>138774</v>
      </c>
      <c r="D67" s="201">
        <f t="shared" si="3"/>
        <v>1.0896138064419407E-3</v>
      </c>
      <c r="E67" s="269"/>
      <c r="F67" s="254">
        <f>VLOOKUP(A67,'OPEB Amounts_Report'!$A$10:$A$324,1,FALSE)</f>
        <v>2550</v>
      </c>
      <c r="G67" s="116"/>
      <c r="H67" s="117"/>
    </row>
    <row r="68" spans="1:8">
      <c r="A68" s="193">
        <v>2570</v>
      </c>
      <c r="B68" s="194" t="s">
        <v>58</v>
      </c>
      <c r="C68" s="198">
        <f t="shared" si="2"/>
        <v>87845</v>
      </c>
      <c r="D68" s="200">
        <f t="shared" si="3"/>
        <v>6.8973384659152485E-4</v>
      </c>
      <c r="E68" s="269"/>
      <c r="F68" s="254">
        <f>VLOOKUP(A68,'OPEB Amounts_Report'!$A$10:$A$324,1,FALSE)</f>
        <v>2570</v>
      </c>
      <c r="G68" s="116"/>
      <c r="H68" s="117"/>
    </row>
    <row r="69" spans="1:8">
      <c r="A69" s="195">
        <v>2620</v>
      </c>
      <c r="B69" s="196" t="s">
        <v>59</v>
      </c>
      <c r="C69" s="199">
        <f t="shared" si="2"/>
        <v>916628</v>
      </c>
      <c r="D69" s="201">
        <f t="shared" si="3"/>
        <v>7.1971012161591011E-3</v>
      </c>
      <c r="E69" s="269"/>
      <c r="F69" s="254">
        <f>VLOOKUP(A69,'OPEB Amounts_Report'!$A$10:$A$324,1,FALSE)</f>
        <v>2620</v>
      </c>
      <c r="G69" s="116"/>
      <c r="H69" s="117"/>
    </row>
    <row r="70" spans="1:8">
      <c r="A70" s="193">
        <v>2630</v>
      </c>
      <c r="B70" s="194" t="s">
        <v>60</v>
      </c>
      <c r="C70" s="198">
        <f t="shared" si="2"/>
        <v>657740</v>
      </c>
      <c r="D70" s="200">
        <f t="shared" si="3"/>
        <v>5.1643865929433611E-3</v>
      </c>
      <c r="E70" s="269"/>
      <c r="F70" s="254">
        <f>VLOOKUP(A70,'OPEB Amounts_Report'!$A$10:$A$324,1,FALSE)</f>
        <v>2630</v>
      </c>
      <c r="G70" s="116"/>
      <c r="H70" s="117"/>
    </row>
    <row r="71" spans="1:8">
      <c r="A71" s="195">
        <v>2690</v>
      </c>
      <c r="B71" s="196" t="s">
        <v>61</v>
      </c>
      <c r="C71" s="199">
        <f t="shared" si="2"/>
        <v>1714719</v>
      </c>
      <c r="D71" s="201">
        <f t="shared" si="3"/>
        <v>1.346348376906566E-2</v>
      </c>
      <c r="E71" s="269"/>
      <c r="F71" s="254">
        <f>VLOOKUP(A71,'OPEB Amounts_Report'!$A$10:$A$324,1,FALSE)</f>
        <v>2690</v>
      </c>
      <c r="G71" s="116"/>
      <c r="H71" s="117"/>
    </row>
    <row r="72" spans="1:8">
      <c r="A72" s="193">
        <v>2710</v>
      </c>
      <c r="B72" s="194" t="s">
        <v>62</v>
      </c>
      <c r="C72" s="198">
        <f t="shared" si="2"/>
        <v>16247</v>
      </c>
      <c r="D72" s="200">
        <f t="shared" si="3"/>
        <v>1.2756680295489218E-4</v>
      </c>
      <c r="E72" s="269"/>
      <c r="F72" s="254">
        <f>VLOOKUP(A72,'OPEB Amounts_Report'!$A$10:$A$324,1,FALSE)</f>
        <v>2710</v>
      </c>
      <c r="G72" s="116"/>
      <c r="H72" s="117"/>
    </row>
    <row r="73" spans="1:8">
      <c r="A73" s="298">
        <v>2730</v>
      </c>
      <c r="B73" s="299" t="s">
        <v>63</v>
      </c>
      <c r="C73" s="300">
        <f t="shared" ref="C73:C104" si="4">+VLOOKUP(A73,$D$321:$F$629,3,FALSE)</f>
        <v>140393</v>
      </c>
      <c r="D73" s="301">
        <f t="shared" ref="D73:D104" si="5">+C73/$C$316</f>
        <v>1.1023257319656662E-3</v>
      </c>
      <c r="E73" s="269"/>
      <c r="F73" s="254">
        <f>VLOOKUP(A73,'OPEB Amounts_Report'!$A$10:$A$324,1,FALSE)</f>
        <v>2730</v>
      </c>
      <c r="G73" s="116"/>
      <c r="H73" s="117"/>
    </row>
    <row r="74" spans="1:8">
      <c r="A74" s="193">
        <v>2950</v>
      </c>
      <c r="B74" s="194" t="s">
        <v>64</v>
      </c>
      <c r="C74" s="198">
        <f t="shared" si="4"/>
        <v>102978</v>
      </c>
      <c r="D74" s="200">
        <f t="shared" si="5"/>
        <v>8.0855383976665774E-4</v>
      </c>
      <c r="E74" s="269"/>
      <c r="F74" s="254">
        <f>VLOOKUP(A74,'OPEB Amounts_Report'!$A$10:$A$324,1,FALSE)</f>
        <v>2950</v>
      </c>
      <c r="G74" s="116"/>
      <c r="H74" s="117"/>
    </row>
    <row r="75" spans="1:8">
      <c r="A75" s="195">
        <v>2760</v>
      </c>
      <c r="B75" s="196" t="s">
        <v>65</v>
      </c>
      <c r="C75" s="199">
        <f t="shared" si="4"/>
        <v>86516</v>
      </c>
      <c r="D75" s="201">
        <f t="shared" si="5"/>
        <v>6.7929891822770064E-4</v>
      </c>
      <c r="E75" s="269"/>
      <c r="F75" s="254">
        <f>VLOOKUP(A75,'OPEB Amounts_Report'!$A$10:$A$324,1,FALSE)</f>
        <v>2760</v>
      </c>
      <c r="G75" s="116"/>
      <c r="H75" s="117"/>
    </row>
    <row r="76" spans="1:8">
      <c r="A76" s="193">
        <v>2780</v>
      </c>
      <c r="B76" s="194" t="s">
        <v>66</v>
      </c>
      <c r="C76" s="198">
        <f t="shared" si="4"/>
        <v>7518</v>
      </c>
      <c r="D76" s="200">
        <f t="shared" si="5"/>
        <v>5.9029188441858777E-5</v>
      </c>
      <c r="E76" s="269"/>
      <c r="F76" s="254">
        <f>VLOOKUP(A76,'OPEB Amounts_Report'!$A$10:$A$324,1,FALSE)</f>
        <v>2780</v>
      </c>
      <c r="G76" s="116"/>
      <c r="H76" s="117"/>
    </row>
    <row r="77" spans="1:8">
      <c r="A77" s="195">
        <v>2810</v>
      </c>
      <c r="B77" s="196" t="s">
        <v>67</v>
      </c>
      <c r="C77" s="199">
        <f t="shared" si="4"/>
        <v>67041</v>
      </c>
      <c r="D77" s="201">
        <f t="shared" si="5"/>
        <v>5.2638678136880212E-4</v>
      </c>
      <c r="E77" s="269"/>
      <c r="F77" s="254">
        <f>VLOOKUP(A77,'OPEB Amounts_Report'!$A$10:$A$324,1,FALSE)</f>
        <v>2810</v>
      </c>
      <c r="G77" s="116"/>
      <c r="H77" s="117"/>
    </row>
    <row r="78" spans="1:8">
      <c r="A78" s="193">
        <v>18056</v>
      </c>
      <c r="B78" s="194" t="s">
        <v>68</v>
      </c>
      <c r="C78" s="198">
        <f t="shared" si="4"/>
        <v>85826</v>
      </c>
      <c r="D78" s="200">
        <f t="shared" si="5"/>
        <v>6.7388123533000416E-4</v>
      </c>
      <c r="E78" s="269"/>
      <c r="F78" s="254">
        <f>VLOOKUP(A78,'OPEB Amounts_Report'!$A$10:$A$324,1,FALSE)</f>
        <v>18056</v>
      </c>
      <c r="G78" s="116"/>
      <c r="H78" s="117"/>
    </row>
    <row r="79" spans="1:8">
      <c r="A79" s="195">
        <v>15047</v>
      </c>
      <c r="B79" s="196" t="s">
        <v>69</v>
      </c>
      <c r="C79" s="199">
        <f t="shared" si="4"/>
        <v>77725</v>
      </c>
      <c r="D79" s="201">
        <f t="shared" si="5"/>
        <v>6.1027449742530901E-4</v>
      </c>
      <c r="E79" s="269"/>
      <c r="F79" s="254">
        <f>VLOOKUP(A79,'OPEB Amounts_Report'!$A$10:$A$324,1,FALSE)</f>
        <v>15047</v>
      </c>
      <c r="G79" s="116"/>
      <c r="H79" s="117"/>
    </row>
    <row r="80" spans="1:8">
      <c r="A80" s="193">
        <v>5012</v>
      </c>
      <c r="B80" s="194" t="s">
        <v>70</v>
      </c>
      <c r="C80" s="198">
        <f t="shared" si="4"/>
        <v>1346099</v>
      </c>
      <c r="D80" s="200">
        <f t="shared" si="5"/>
        <v>1.0569184827400593E-2</v>
      </c>
      <c r="E80" s="269"/>
      <c r="F80" s="254">
        <f>VLOOKUP(A80,'OPEB Amounts_Report'!$A$10:$A$324,1,FALSE)</f>
        <v>5012</v>
      </c>
      <c r="G80" s="116"/>
      <c r="H80" s="117"/>
    </row>
    <row r="81" spans="1:8">
      <c r="A81" s="195">
        <v>8024</v>
      </c>
      <c r="B81" s="196" t="s">
        <v>71</v>
      </c>
      <c r="C81" s="199">
        <f t="shared" si="4"/>
        <v>253811</v>
      </c>
      <c r="D81" s="201">
        <f t="shared" si="5"/>
        <v>1.9928514694887759E-3</v>
      </c>
      <c r="E81" s="269"/>
      <c r="F81" s="254">
        <f>VLOOKUP(A81,'OPEB Amounts_Report'!$A$10:$A$324,1,FALSE)</f>
        <v>8024</v>
      </c>
      <c r="G81" s="116"/>
      <c r="H81" s="117"/>
    </row>
    <row r="82" spans="1:8">
      <c r="A82" s="193">
        <v>3050</v>
      </c>
      <c r="B82" s="194" t="s">
        <v>72</v>
      </c>
      <c r="C82" s="198">
        <f t="shared" si="4"/>
        <v>94465</v>
      </c>
      <c r="D82" s="200">
        <f t="shared" si="5"/>
        <v>7.4171219555203361E-4</v>
      </c>
      <c r="E82" s="269"/>
      <c r="F82" s="254">
        <f>VLOOKUP(A82,'OPEB Amounts_Report'!$A$10:$A$324,1,FALSE)</f>
        <v>3050</v>
      </c>
      <c r="G82" s="116"/>
      <c r="H82" s="117"/>
    </row>
    <row r="83" spans="1:8">
      <c r="A83" s="195">
        <v>2421</v>
      </c>
      <c r="B83" s="196" t="s">
        <v>73</v>
      </c>
      <c r="C83" s="199">
        <f t="shared" si="4"/>
        <v>31066</v>
      </c>
      <c r="D83" s="201">
        <f t="shared" si="5"/>
        <v>2.4392135782585591E-4</v>
      </c>
      <c r="E83" s="269"/>
      <c r="F83" s="254">
        <f>VLOOKUP(A83,'OPEB Amounts_Report'!$A$10:$A$324,1,FALSE)</f>
        <v>2421</v>
      </c>
      <c r="G83" s="116"/>
      <c r="H83" s="117"/>
    </row>
    <row r="84" spans="1:8">
      <c r="A84" s="193">
        <v>26079</v>
      </c>
      <c r="B84" s="194" t="s">
        <v>74</v>
      </c>
      <c r="C84" s="198">
        <f t="shared" si="4"/>
        <v>33012</v>
      </c>
      <c r="D84" s="200">
        <f t="shared" si="5"/>
        <v>2.59200793940229E-4</v>
      </c>
      <c r="E84" s="269"/>
      <c r="F84" s="254">
        <f>VLOOKUP(A84,'OPEB Amounts_Report'!$A$10:$A$324,1,FALSE)</f>
        <v>26079</v>
      </c>
      <c r="G84" s="116"/>
      <c r="H84" s="117"/>
    </row>
    <row r="85" spans="1:8">
      <c r="A85" s="195">
        <v>2363</v>
      </c>
      <c r="B85" s="196" t="s">
        <v>75</v>
      </c>
      <c r="C85" s="199">
        <f t="shared" si="4"/>
        <v>37522</v>
      </c>
      <c r="D85" s="201">
        <f t="shared" si="5"/>
        <v>2.946120256338687E-4</v>
      </c>
      <c r="E85" s="269"/>
      <c r="F85" s="254">
        <f>VLOOKUP(A85,'OPEB Amounts_Report'!$A$10:$A$324,1,FALSE)</f>
        <v>2363</v>
      </c>
      <c r="G85" s="116"/>
      <c r="H85" s="117"/>
    </row>
    <row r="86" spans="1:8">
      <c r="A86" s="193">
        <v>2364</v>
      </c>
      <c r="B86" s="194" t="s">
        <v>76</v>
      </c>
      <c r="C86" s="198">
        <f t="shared" si="4"/>
        <v>122219</v>
      </c>
      <c r="D86" s="200">
        <f t="shared" si="5"/>
        <v>9.5962867546894621E-4</v>
      </c>
      <c r="E86" s="269"/>
      <c r="F86" s="254">
        <f>VLOOKUP(A86,'OPEB Amounts_Report'!$A$10:$A$324,1,FALSE)</f>
        <v>2364</v>
      </c>
      <c r="G86" s="116"/>
      <c r="H86" s="117"/>
    </row>
    <row r="87" spans="1:8">
      <c r="A87" s="195">
        <v>25319</v>
      </c>
      <c r="B87" s="196" t="s">
        <v>77</v>
      </c>
      <c r="C87" s="199">
        <f t="shared" si="4"/>
        <v>24519</v>
      </c>
      <c r="D87" s="201">
        <f t="shared" si="5"/>
        <v>1.9251618401249472E-4</v>
      </c>
      <c r="E87" s="269"/>
      <c r="F87" s="254">
        <f>VLOOKUP(A87,'OPEB Amounts_Report'!$A$10:$A$324,1,FALSE)</f>
        <v>25319</v>
      </c>
      <c r="G87" s="116"/>
      <c r="H87" s="117"/>
    </row>
    <row r="88" spans="1:8">
      <c r="A88" s="193">
        <v>29087</v>
      </c>
      <c r="B88" s="194" t="s">
        <v>78</v>
      </c>
      <c r="C88" s="198">
        <f t="shared" si="4"/>
        <v>245047</v>
      </c>
      <c r="D88" s="200">
        <f t="shared" si="5"/>
        <v>1.9240390449736854E-3</v>
      </c>
      <c r="E88" s="269"/>
      <c r="F88" s="254">
        <f>VLOOKUP(A88,'OPEB Amounts_Report'!$A$10:$A$324,1,FALSE)</f>
        <v>29087</v>
      </c>
      <c r="G88" s="116"/>
      <c r="H88" s="117"/>
    </row>
    <row r="89" spans="1:8">
      <c r="A89" s="195">
        <v>3060</v>
      </c>
      <c r="B89" s="196" t="s">
        <v>79</v>
      </c>
      <c r="C89" s="199">
        <f t="shared" si="4"/>
        <v>142374</v>
      </c>
      <c r="D89" s="201">
        <f t="shared" si="5"/>
        <v>1.1178799780820964E-3</v>
      </c>
      <c r="E89" s="269"/>
      <c r="F89" s="254">
        <f>VLOOKUP(A89,'OPEB Amounts_Report'!$A$10:$A$324,1,FALSE)</f>
        <v>3060</v>
      </c>
      <c r="G89" s="116"/>
      <c r="H89" s="117"/>
    </row>
    <row r="90" spans="1:8">
      <c r="A90" s="193">
        <v>19301</v>
      </c>
      <c r="B90" s="194" t="s">
        <v>80</v>
      </c>
      <c r="C90" s="198">
        <f t="shared" si="4"/>
        <v>28023</v>
      </c>
      <c r="D90" s="200">
        <f t="shared" si="5"/>
        <v>2.2002859107557972E-4</v>
      </c>
      <c r="E90" s="269"/>
      <c r="F90" s="254">
        <f>VLOOKUP(A90,'OPEB Amounts_Report'!$A$10:$A$324,1,FALSE)</f>
        <v>19301</v>
      </c>
      <c r="G90" s="116"/>
      <c r="H90" s="117"/>
    </row>
    <row r="91" spans="1:8">
      <c r="A91" s="195">
        <v>19059</v>
      </c>
      <c r="B91" s="196" t="s">
        <v>81</v>
      </c>
      <c r="C91" s="199">
        <f t="shared" si="4"/>
        <v>896118</v>
      </c>
      <c r="D91" s="201">
        <f t="shared" si="5"/>
        <v>7.0360625549536577E-3</v>
      </c>
      <c r="E91" s="269"/>
      <c r="F91" s="254">
        <f>VLOOKUP(A91,'OPEB Amounts_Report'!$A$10:$A$324,1,FALSE)</f>
        <v>19059</v>
      </c>
      <c r="G91" s="116"/>
      <c r="H91" s="117"/>
    </row>
    <row r="92" spans="1:8">
      <c r="A92" s="193">
        <v>18057</v>
      </c>
      <c r="B92" s="194" t="s">
        <v>82</v>
      </c>
      <c r="C92" s="198">
        <f t="shared" si="4"/>
        <v>37980</v>
      </c>
      <c r="D92" s="200">
        <f t="shared" si="5"/>
        <v>2.9820811080364409E-4</v>
      </c>
      <c r="E92" s="269"/>
      <c r="F92" s="254">
        <f>VLOOKUP(A92,'OPEB Amounts_Report'!$A$10:$A$324,1,FALSE)</f>
        <v>18057</v>
      </c>
      <c r="G92" s="116"/>
      <c r="H92" s="117"/>
    </row>
    <row r="93" spans="1:8">
      <c r="A93" s="195">
        <v>4008</v>
      </c>
      <c r="B93" s="196" t="s">
        <v>83</v>
      </c>
      <c r="C93" s="199">
        <f t="shared" si="4"/>
        <v>149824</v>
      </c>
      <c r="D93" s="201">
        <f t="shared" si="5"/>
        <v>1.1763752499485301E-3</v>
      </c>
      <c r="E93" s="269"/>
      <c r="F93" s="254">
        <f>VLOOKUP(A93,'OPEB Amounts_Report'!$A$10:$A$324,1,FALSE)</f>
        <v>4008</v>
      </c>
      <c r="G93" s="116"/>
      <c r="H93" s="117"/>
    </row>
    <row r="94" spans="1:8">
      <c r="A94" s="193">
        <v>2350</v>
      </c>
      <c r="B94" s="194" t="s">
        <v>84</v>
      </c>
      <c r="C94" s="198">
        <f t="shared" si="4"/>
        <v>49318</v>
      </c>
      <c r="D94" s="200">
        <f t="shared" si="5"/>
        <v>3.87230848041446E-4</v>
      </c>
      <c r="E94" s="269"/>
      <c r="F94" s="254">
        <f>VLOOKUP(A94,'OPEB Amounts_Report'!$A$10:$A$324,1,FALSE)</f>
        <v>2350</v>
      </c>
      <c r="G94" s="116"/>
      <c r="H94" s="117"/>
    </row>
    <row r="95" spans="1:8">
      <c r="A95" s="195">
        <v>11117</v>
      </c>
      <c r="B95" s="196" t="s">
        <v>85</v>
      </c>
      <c r="C95" s="199">
        <f t="shared" si="4"/>
        <v>47180</v>
      </c>
      <c r="D95" s="201">
        <f t="shared" si="5"/>
        <v>3.7044388277293123E-4</v>
      </c>
      <c r="E95" s="269"/>
      <c r="F95" s="254">
        <f>VLOOKUP(A95,'OPEB Amounts_Report'!$A$10:$A$324,1,FALSE)</f>
        <v>11117</v>
      </c>
      <c r="G95" s="116"/>
      <c r="H95" s="117"/>
    </row>
    <row r="96" spans="1:8">
      <c r="A96" s="193">
        <v>16359</v>
      </c>
      <c r="B96" s="194" t="s">
        <v>86</v>
      </c>
      <c r="C96" s="198">
        <f t="shared" si="4"/>
        <v>10251</v>
      </c>
      <c r="D96" s="200">
        <f t="shared" si="5"/>
        <v>8.0487923745343744E-5</v>
      </c>
      <c r="E96" s="269"/>
      <c r="F96" s="254">
        <f>VLOOKUP(A96,'OPEB Amounts_Report'!$A$10:$A$324,1,FALSE)</f>
        <v>16359</v>
      </c>
      <c r="G96" s="116"/>
      <c r="H96" s="117"/>
    </row>
    <row r="97" spans="1:8">
      <c r="A97" s="195">
        <v>17115</v>
      </c>
      <c r="B97" s="196" t="s">
        <v>87</v>
      </c>
      <c r="C97" s="199">
        <f t="shared" si="4"/>
        <v>182311</v>
      </c>
      <c r="D97" s="201">
        <f t="shared" si="5"/>
        <v>1.4314538938579031E-3</v>
      </c>
      <c r="E97" s="269"/>
      <c r="F97" s="254">
        <f>VLOOKUP(A97,'OPEB Amounts_Report'!$A$10:$A$324,1,FALSE)</f>
        <v>17115</v>
      </c>
      <c r="G97" s="116"/>
      <c r="H97" s="117"/>
    </row>
    <row r="98" spans="1:8">
      <c r="A98" s="193">
        <v>32117</v>
      </c>
      <c r="B98" s="194" t="s">
        <v>88</v>
      </c>
      <c r="C98" s="198">
        <f t="shared" si="4"/>
        <v>14595</v>
      </c>
      <c r="D98" s="200">
        <f t="shared" si="5"/>
        <v>1.1459577085779846E-4</v>
      </c>
      <c r="E98" s="269"/>
      <c r="F98" s="254">
        <f>VLOOKUP(A98,'OPEB Amounts_Report'!$A$10:$A$324,1,FALSE)</f>
        <v>32117</v>
      </c>
      <c r="G98" s="116"/>
      <c r="H98" s="117"/>
    </row>
    <row r="99" spans="1:8">
      <c r="A99" s="195">
        <v>2304</v>
      </c>
      <c r="B99" s="196" t="s">
        <v>89</v>
      </c>
      <c r="C99" s="199">
        <f t="shared" si="4"/>
        <v>64587</v>
      </c>
      <c r="D99" s="201">
        <f t="shared" si="5"/>
        <v>5.0711867436742917E-4</v>
      </c>
      <c r="E99" s="269"/>
      <c r="F99" s="254">
        <f>VLOOKUP(A99,'OPEB Amounts_Report'!$A$10:$A$324,1,FALSE)</f>
        <v>2304</v>
      </c>
      <c r="G99" s="116"/>
      <c r="H99" s="117"/>
    </row>
    <row r="100" spans="1:8">
      <c r="A100" s="193">
        <v>11101</v>
      </c>
      <c r="B100" s="194" t="s">
        <v>91</v>
      </c>
      <c r="C100" s="198">
        <f t="shared" si="4"/>
        <v>745644</v>
      </c>
      <c r="D100" s="200">
        <f t="shared" si="5"/>
        <v>5.854583690681211E-3</v>
      </c>
      <c r="E100" s="269"/>
      <c r="F100" s="254">
        <f>VLOOKUP(A100,'OPEB Amounts_Report'!$A$10:$A$324,1,FALSE)</f>
        <v>11101</v>
      </c>
      <c r="G100" s="116"/>
      <c r="H100" s="117"/>
    </row>
    <row r="101" spans="1:8">
      <c r="A101" s="195">
        <v>11102</v>
      </c>
      <c r="B101" s="196" t="s">
        <v>90</v>
      </c>
      <c r="C101" s="199">
        <f t="shared" si="4"/>
        <v>259029</v>
      </c>
      <c r="D101" s="201">
        <f t="shared" si="5"/>
        <v>2.0338217149383129E-3</v>
      </c>
      <c r="E101" s="269"/>
      <c r="F101" s="254">
        <f>VLOOKUP(A101,'OPEB Amounts_Report'!$A$10:$A$324,1,FALSE)</f>
        <v>11102</v>
      </c>
      <c r="G101" s="116"/>
      <c r="H101" s="117"/>
    </row>
    <row r="102" spans="1:8">
      <c r="A102" s="193">
        <v>3100</v>
      </c>
      <c r="B102" s="194" t="s">
        <v>92</v>
      </c>
      <c r="C102" s="198">
        <f t="shared" si="4"/>
        <v>530191</v>
      </c>
      <c r="D102" s="200">
        <f t="shared" si="5"/>
        <v>4.1629082800182958E-3</v>
      </c>
      <c r="E102" s="269"/>
      <c r="F102" s="254">
        <f>VLOOKUP(A102,'OPEB Amounts_Report'!$A$10:$A$324,1,FALSE)</f>
        <v>3100</v>
      </c>
      <c r="G102" s="116"/>
      <c r="H102" s="117"/>
    </row>
    <row r="103" spans="1:8">
      <c r="A103" s="195">
        <v>2323</v>
      </c>
      <c r="B103" s="196" t="s">
        <v>93</v>
      </c>
      <c r="C103" s="199">
        <f t="shared" si="4"/>
        <v>52366</v>
      </c>
      <c r="D103" s="201">
        <f t="shared" si="5"/>
        <v>4.1116287336344463E-4</v>
      </c>
      <c r="E103" s="269"/>
      <c r="F103" s="254">
        <f>VLOOKUP(A103,'OPEB Amounts_Report'!$A$10:$A$324,1,FALSE)</f>
        <v>2323</v>
      </c>
      <c r="G103" s="116"/>
      <c r="H103" s="117"/>
    </row>
    <row r="104" spans="1:8">
      <c r="A104" s="193">
        <v>11034</v>
      </c>
      <c r="B104" s="194" t="s">
        <v>94</v>
      </c>
      <c r="C104" s="198">
        <f t="shared" si="4"/>
        <v>40615</v>
      </c>
      <c r="D104" s="200">
        <f t="shared" si="5"/>
        <v>3.1889737810136928E-4</v>
      </c>
      <c r="E104" s="269"/>
      <c r="F104" s="254">
        <f>VLOOKUP(A104,'OPEB Amounts_Report'!$A$10:$A$324,1,FALSE)</f>
        <v>11034</v>
      </c>
      <c r="G104" s="116"/>
      <c r="H104" s="117"/>
    </row>
    <row r="105" spans="1:8">
      <c r="A105" s="195">
        <v>17054</v>
      </c>
      <c r="B105" s="196" t="s">
        <v>95</v>
      </c>
      <c r="C105" s="199">
        <f t="shared" ref="C105:C136" si="6">+VLOOKUP(A105,$D$321:$F$629,3,FALSE)</f>
        <v>545339</v>
      </c>
      <c r="D105" s="201">
        <f t="shared" ref="D105:D136" si="7">+C105/$C$316</f>
        <v>4.2818460489085957E-3</v>
      </c>
      <c r="E105" s="269"/>
      <c r="F105" s="254">
        <f>VLOOKUP(A105,'OPEB Amounts_Report'!$A$10:$A$324,1,FALSE)</f>
        <v>17054</v>
      </c>
      <c r="G105" s="116"/>
      <c r="H105" s="117"/>
    </row>
    <row r="106" spans="1:8">
      <c r="A106" s="193">
        <v>22065</v>
      </c>
      <c r="B106" s="194" t="s">
        <v>96</v>
      </c>
      <c r="C106" s="198">
        <f t="shared" si="6"/>
        <v>139448</v>
      </c>
      <c r="D106" s="200">
        <f t="shared" si="7"/>
        <v>1.0949058619101253E-3</v>
      </c>
      <c r="E106" s="269"/>
      <c r="F106" s="254">
        <f>VLOOKUP(A106,'OPEB Amounts_Report'!$A$10:$A$324,1,FALSE)</f>
        <v>22065</v>
      </c>
      <c r="G106" s="116"/>
      <c r="H106" s="117"/>
    </row>
    <row r="107" spans="1:8">
      <c r="A107" s="195">
        <v>22201</v>
      </c>
      <c r="B107" s="196" t="s">
        <v>97</v>
      </c>
      <c r="C107" s="199">
        <f t="shared" si="6"/>
        <v>81884</v>
      </c>
      <c r="D107" s="201">
        <f t="shared" si="7"/>
        <v>6.4292977738403354E-4</v>
      </c>
      <c r="E107" s="269"/>
      <c r="F107" s="254">
        <f>VLOOKUP(A107,'OPEB Amounts_Report'!$A$10:$A$324,1,FALSE)</f>
        <v>22201</v>
      </c>
      <c r="G107" s="116"/>
      <c r="H107" s="117"/>
    </row>
    <row r="108" spans="1:8">
      <c r="A108" s="193">
        <v>6016</v>
      </c>
      <c r="B108" s="194" t="s">
        <v>98</v>
      </c>
      <c r="C108" s="198">
        <f t="shared" si="6"/>
        <v>133949</v>
      </c>
      <c r="D108" s="200">
        <f t="shared" si="7"/>
        <v>1.0517292847297872E-3</v>
      </c>
      <c r="E108" s="269"/>
      <c r="F108" s="254">
        <f>VLOOKUP(A108,'OPEB Amounts_Report'!$A$10:$A$324,1,FALSE)</f>
        <v>6016</v>
      </c>
      <c r="G108" s="116"/>
      <c r="H108" s="117"/>
    </row>
    <row r="109" spans="1:8">
      <c r="A109" s="195">
        <v>7440</v>
      </c>
      <c r="B109" s="196" t="s">
        <v>447</v>
      </c>
      <c r="C109" s="199">
        <f t="shared" si="6"/>
        <v>48074</v>
      </c>
      <c r="D109" s="201">
        <f t="shared" si="7"/>
        <v>3.7746331539690328E-4</v>
      </c>
      <c r="E109" s="269"/>
      <c r="F109" s="254">
        <f>VLOOKUP(A109,'OPEB Amounts_Report'!$A$10:$A$324,1,FALSE)</f>
        <v>7440</v>
      </c>
      <c r="G109" s="116"/>
      <c r="H109" s="117"/>
    </row>
    <row r="110" spans="1:8">
      <c r="A110" s="193">
        <v>2432</v>
      </c>
      <c r="B110" s="194" t="s">
        <v>99</v>
      </c>
      <c r="C110" s="198">
        <f t="shared" si="6"/>
        <v>212886</v>
      </c>
      <c r="D110" s="200">
        <f t="shared" si="7"/>
        <v>1.6715200599406155E-3</v>
      </c>
      <c r="E110" s="269"/>
      <c r="F110" s="254">
        <f>VLOOKUP(A110,'OPEB Amounts_Report'!$A$10:$A$324,1,FALSE)</f>
        <v>2432</v>
      </c>
      <c r="G110" s="116"/>
      <c r="H110" s="117"/>
    </row>
    <row r="111" spans="1:8" s="191" customFormat="1">
      <c r="A111" s="195">
        <v>29125</v>
      </c>
      <c r="B111" s="196" t="s">
        <v>483</v>
      </c>
      <c r="C111" s="199">
        <f t="shared" si="6"/>
        <v>32919</v>
      </c>
      <c r="D111" s="201">
        <f t="shared" si="7"/>
        <v>2.5847058450619167E-4</v>
      </c>
      <c r="E111" s="269"/>
      <c r="F111" s="254">
        <f>VLOOKUP(A111,'OPEB Amounts_Report'!$A$10:$A$324,1,FALSE)</f>
        <v>29125</v>
      </c>
      <c r="G111" s="116"/>
      <c r="H111" s="117"/>
    </row>
    <row r="112" spans="1:8">
      <c r="A112" s="193">
        <v>16052</v>
      </c>
      <c r="B112" s="194" t="s">
        <v>100</v>
      </c>
      <c r="C112" s="198">
        <f t="shared" si="6"/>
        <v>1679563</v>
      </c>
      <c r="D112" s="200">
        <f t="shared" si="7"/>
        <v>1.3187448899570849E-2</v>
      </c>
      <c r="E112" s="269"/>
      <c r="F112" s="254">
        <f>VLOOKUP(A112,'OPEB Amounts_Report'!$A$10:$A$324,1,FALSE)</f>
        <v>16052</v>
      </c>
      <c r="G112" s="116"/>
      <c r="H112" s="117"/>
    </row>
    <row r="113" spans="1:8">
      <c r="A113" s="195">
        <v>11118</v>
      </c>
      <c r="B113" s="196" t="s">
        <v>101</v>
      </c>
      <c r="C113" s="199">
        <f t="shared" si="6"/>
        <v>45706</v>
      </c>
      <c r="D113" s="201">
        <f t="shared" si="7"/>
        <v>3.5887045582915633E-4</v>
      </c>
      <c r="E113" s="269"/>
      <c r="F113" s="254">
        <f>VLOOKUP(A113,'OPEB Amounts_Report'!$A$10:$A$324,1,FALSE)</f>
        <v>11118</v>
      </c>
      <c r="G113" s="116"/>
      <c r="H113" s="117"/>
    </row>
    <row r="114" spans="1:8">
      <c r="A114" s="193">
        <v>27083</v>
      </c>
      <c r="B114" s="194" t="s">
        <v>102</v>
      </c>
      <c r="C114" s="198">
        <f t="shared" si="6"/>
        <v>61087</v>
      </c>
      <c r="D114" s="200">
        <f t="shared" si="7"/>
        <v>4.796376741617221E-4</v>
      </c>
      <c r="E114" s="269"/>
      <c r="F114" s="254">
        <f>VLOOKUP(A114,'OPEB Amounts_Report'!$A$10:$A$324,1,FALSE)</f>
        <v>27083</v>
      </c>
      <c r="G114" s="116"/>
      <c r="H114" s="117"/>
    </row>
    <row r="115" spans="1:8">
      <c r="A115" s="195">
        <v>7021</v>
      </c>
      <c r="B115" s="196" t="s">
        <v>103</v>
      </c>
      <c r="C115" s="199">
        <f t="shared" si="6"/>
        <v>2219111</v>
      </c>
      <c r="D115" s="201">
        <f t="shared" si="7"/>
        <v>1.7423825670710515E-2</v>
      </c>
      <c r="E115" s="269"/>
      <c r="F115" s="254">
        <f>VLOOKUP(A115,'OPEB Amounts_Report'!$A$10:$A$324,1,FALSE)</f>
        <v>7021</v>
      </c>
      <c r="G115" s="116"/>
      <c r="H115" s="117"/>
    </row>
    <row r="116" spans="1:8">
      <c r="A116" s="193">
        <v>4140</v>
      </c>
      <c r="B116" s="194" t="s">
        <v>104</v>
      </c>
      <c r="C116" s="198">
        <f t="shared" si="6"/>
        <v>15055</v>
      </c>
      <c r="D116" s="200">
        <f t="shared" si="7"/>
        <v>1.1820755945626281E-4</v>
      </c>
      <c r="E116" s="269"/>
      <c r="F116" s="254">
        <f>VLOOKUP(A116,'OPEB Amounts_Report'!$A$10:$A$324,1,FALSE)</f>
        <v>4140</v>
      </c>
      <c r="G116" s="116"/>
      <c r="H116" s="117"/>
    </row>
    <row r="117" spans="1:8">
      <c r="A117" s="195">
        <v>13041</v>
      </c>
      <c r="B117" s="196" t="s">
        <v>105</v>
      </c>
      <c r="C117" s="199">
        <f t="shared" si="6"/>
        <v>2043639</v>
      </c>
      <c r="D117" s="201">
        <f t="shared" si="7"/>
        <v>1.6046069651254564E-2</v>
      </c>
      <c r="E117" s="269"/>
      <c r="F117" s="254">
        <f>VLOOKUP(A117,'OPEB Amounts_Report'!$A$10:$A$324,1,FALSE)</f>
        <v>13041</v>
      </c>
      <c r="G117" s="116"/>
      <c r="H117" s="117"/>
    </row>
    <row r="118" spans="1:8">
      <c r="A118" s="193">
        <v>2339</v>
      </c>
      <c r="B118" s="194" t="s">
        <v>106</v>
      </c>
      <c r="C118" s="198">
        <f t="shared" si="6"/>
        <v>30031</v>
      </c>
      <c r="D118" s="200">
        <f t="shared" si="7"/>
        <v>2.3579483347931109E-4</v>
      </c>
      <c r="E118" s="269"/>
      <c r="F118" s="254">
        <f>VLOOKUP(A118,'OPEB Amounts_Report'!$A$10:$A$324,1,FALSE)</f>
        <v>2339</v>
      </c>
      <c r="G118" s="116"/>
      <c r="H118" s="117"/>
    </row>
    <row r="119" spans="1:8">
      <c r="A119" s="195">
        <v>2362</v>
      </c>
      <c r="B119" s="196" t="s">
        <v>107</v>
      </c>
      <c r="C119" s="199">
        <f t="shared" si="6"/>
        <v>33460</v>
      </c>
      <c r="D119" s="201">
        <f t="shared" si="7"/>
        <v>2.6271836196655954E-4</v>
      </c>
      <c r="E119" s="269"/>
      <c r="F119" s="254">
        <f>VLOOKUP(A119,'OPEB Amounts_Report'!$A$10:$A$324,1,FALSE)</f>
        <v>2362</v>
      </c>
      <c r="G119" s="116"/>
      <c r="H119" s="117"/>
    </row>
    <row r="120" spans="1:8">
      <c r="A120" s="193">
        <v>5013</v>
      </c>
      <c r="B120" s="194" t="s">
        <v>108</v>
      </c>
      <c r="C120" s="198">
        <f t="shared" si="6"/>
        <v>36064</v>
      </c>
      <c r="D120" s="200">
        <f t="shared" si="7"/>
        <v>2.831642261196056E-4</v>
      </c>
      <c r="E120" s="269"/>
      <c r="F120" s="254">
        <f>VLOOKUP(A120,'OPEB Amounts_Report'!$A$10:$A$324,1,FALSE)</f>
        <v>5013</v>
      </c>
      <c r="G120" s="116"/>
      <c r="H120" s="117"/>
    </row>
    <row r="121" spans="1:8">
      <c r="A121" s="195">
        <v>3110</v>
      </c>
      <c r="B121" s="223" t="s">
        <v>109</v>
      </c>
      <c r="C121" s="265">
        <f t="shared" si="6"/>
        <v>159124</v>
      </c>
      <c r="D121" s="224">
        <f t="shared" si="7"/>
        <v>1.2493961933522659E-3</v>
      </c>
      <c r="E121" s="269"/>
      <c r="F121" s="254">
        <f>VLOOKUP(A121,'OPEB Amounts_Report'!$A$10:$A$324,1,FALSE)</f>
        <v>3110</v>
      </c>
      <c r="G121" s="116"/>
      <c r="H121" s="117"/>
    </row>
    <row r="122" spans="1:8">
      <c r="A122" s="193">
        <v>14044</v>
      </c>
      <c r="B122" s="194" t="s">
        <v>110</v>
      </c>
      <c r="C122" s="198">
        <f t="shared" si="6"/>
        <v>619311</v>
      </c>
      <c r="D122" s="200">
        <f t="shared" si="7"/>
        <v>4.8626530623990423E-3</v>
      </c>
      <c r="E122" s="269"/>
      <c r="F122" s="254">
        <f>VLOOKUP(A122,'OPEB Amounts_Report'!$A$10:$A$324,1,FALSE)</f>
        <v>14044</v>
      </c>
      <c r="G122" s="116"/>
      <c r="H122" s="117"/>
    </row>
    <row r="123" spans="1:8">
      <c r="A123" s="195">
        <v>4009</v>
      </c>
      <c r="B123" s="196" t="s">
        <v>111</v>
      </c>
      <c r="C123" s="199">
        <f t="shared" si="6"/>
        <v>81672</v>
      </c>
      <c r="D123" s="201">
        <f t="shared" si="7"/>
        <v>6.4126521394300212E-4</v>
      </c>
      <c r="E123" s="269"/>
      <c r="F123" s="254">
        <f>VLOOKUP(A123,'OPEB Amounts_Report'!$A$10:$A$324,1,FALSE)</f>
        <v>4009</v>
      </c>
      <c r="G123" s="116"/>
      <c r="H123" s="117"/>
    </row>
    <row r="124" spans="1:8">
      <c r="A124" s="193">
        <v>7022</v>
      </c>
      <c r="B124" s="194" t="s">
        <v>112</v>
      </c>
      <c r="C124" s="198">
        <f t="shared" si="6"/>
        <v>231009</v>
      </c>
      <c r="D124" s="200">
        <f t="shared" si="7"/>
        <v>1.8138166790057665E-3</v>
      </c>
      <c r="E124" s="269"/>
      <c r="F124" s="254">
        <f>VLOOKUP(A124,'OPEB Amounts_Report'!$A$10:$A$324,1,FALSE)</f>
        <v>7022</v>
      </c>
      <c r="G124" s="116"/>
      <c r="H124" s="117"/>
    </row>
    <row r="125" spans="1:8" s="132" customFormat="1">
      <c r="A125" s="195">
        <v>2430</v>
      </c>
      <c r="B125" s="196" t="s">
        <v>113</v>
      </c>
      <c r="C125" s="199">
        <f t="shared" si="6"/>
        <v>29787</v>
      </c>
      <c r="D125" s="201">
        <f t="shared" si="7"/>
        <v>2.3387901517925609E-4</v>
      </c>
      <c r="E125" s="269"/>
      <c r="F125" s="254">
        <f>VLOOKUP(A125,'OPEB Amounts_Report'!$A$10:$A$324,1,FALSE)</f>
        <v>2430</v>
      </c>
      <c r="G125" s="116"/>
      <c r="H125" s="117"/>
    </row>
    <row r="126" spans="1:8">
      <c r="A126" s="193">
        <v>9150</v>
      </c>
      <c r="B126" s="194" t="s">
        <v>114</v>
      </c>
      <c r="C126" s="198">
        <f t="shared" si="6"/>
        <v>16705</v>
      </c>
      <c r="D126" s="200">
        <f t="shared" si="7"/>
        <v>1.3116288812466757E-4</v>
      </c>
      <c r="E126" s="269"/>
      <c r="F126" s="254">
        <f>VLOOKUP(A126,'OPEB Amounts_Report'!$A$10:$A$324,1,FALSE)</f>
        <v>9150</v>
      </c>
      <c r="G126" s="116"/>
      <c r="H126" s="117"/>
    </row>
    <row r="127" spans="1:8">
      <c r="A127" s="195">
        <v>6017</v>
      </c>
      <c r="B127" s="196" t="s">
        <v>115</v>
      </c>
      <c r="C127" s="199">
        <f t="shared" si="6"/>
        <v>1601183</v>
      </c>
      <c r="D127" s="201">
        <f t="shared" si="7"/>
        <v>1.2572031529249902E-2</v>
      </c>
      <c r="E127" s="269"/>
      <c r="F127" s="254">
        <f>VLOOKUP(A127,'OPEB Amounts_Report'!$A$10:$A$324,1,FALSE)</f>
        <v>6017</v>
      </c>
      <c r="G127" s="116"/>
      <c r="H127" s="117"/>
    </row>
    <row r="128" spans="1:8">
      <c r="A128" s="193">
        <v>26080</v>
      </c>
      <c r="B128" s="194" t="s">
        <v>116</v>
      </c>
      <c r="C128" s="198">
        <f t="shared" si="6"/>
        <v>47414</v>
      </c>
      <c r="D128" s="200">
        <f t="shared" si="7"/>
        <v>3.7228118392954138E-4</v>
      </c>
      <c r="E128" s="269"/>
      <c r="F128" s="254">
        <f>VLOOKUP(A128,'OPEB Amounts_Report'!$A$10:$A$324,1,FALSE)</f>
        <v>26080</v>
      </c>
      <c r="G128" s="116"/>
      <c r="H128" s="117"/>
    </row>
    <row r="129" spans="1:8">
      <c r="A129" s="195">
        <v>2327</v>
      </c>
      <c r="B129" s="196" t="s">
        <v>117</v>
      </c>
      <c r="C129" s="199">
        <f t="shared" si="6"/>
        <v>59232</v>
      </c>
      <c r="D129" s="201">
        <f t="shared" si="7"/>
        <v>4.6507274405269735E-4</v>
      </c>
      <c r="E129" s="269"/>
      <c r="F129" s="254">
        <f>VLOOKUP(A129,'OPEB Amounts_Report'!$A$10:$A$324,1,FALSE)</f>
        <v>2327</v>
      </c>
      <c r="G129" s="116"/>
      <c r="H129" s="117"/>
    </row>
    <row r="130" spans="1:8">
      <c r="A130" s="193">
        <v>10119</v>
      </c>
      <c r="B130" s="194" t="s">
        <v>118</v>
      </c>
      <c r="C130" s="198">
        <f t="shared" si="6"/>
        <v>27225</v>
      </c>
      <c r="D130" s="200">
        <f t="shared" si="7"/>
        <v>2.1376292302867852E-4</v>
      </c>
      <c r="E130" s="269"/>
      <c r="F130" s="254">
        <f>VLOOKUP(A130,'OPEB Amounts_Report'!$A$10:$A$324,1,FALSE)</f>
        <v>10119</v>
      </c>
      <c r="G130" s="116"/>
      <c r="H130" s="117"/>
    </row>
    <row r="131" spans="1:8">
      <c r="A131" s="195">
        <v>573</v>
      </c>
      <c r="B131" s="196" t="s">
        <v>399</v>
      </c>
      <c r="C131" s="199">
        <f t="shared" si="6"/>
        <v>139317</v>
      </c>
      <c r="D131" s="201">
        <f t="shared" si="7"/>
        <v>1.0938772873309974E-3</v>
      </c>
      <c r="E131" s="269"/>
      <c r="F131" s="254">
        <f>VLOOKUP(A131,'OPEB Amounts_Report'!$A$10:$A$324,1,FALSE)</f>
        <v>573</v>
      </c>
      <c r="G131" s="116"/>
      <c r="H131" s="117"/>
    </row>
    <row r="132" spans="1:8">
      <c r="A132" s="193">
        <v>2368</v>
      </c>
      <c r="B132" s="194" t="s">
        <v>119</v>
      </c>
      <c r="C132" s="198">
        <f t="shared" si="6"/>
        <v>57335</v>
      </c>
      <c r="D132" s="200">
        <f t="shared" si="7"/>
        <v>4.5017804194120417E-4</v>
      </c>
      <c r="E132" s="269"/>
      <c r="F132" s="254">
        <f>VLOOKUP(A132,'OPEB Amounts_Report'!$A$10:$A$324,1,FALSE)</f>
        <v>2368</v>
      </c>
      <c r="G132" s="116"/>
      <c r="H132" s="117"/>
    </row>
    <row r="133" spans="1:8">
      <c r="A133" s="195">
        <v>7420</v>
      </c>
      <c r="B133" s="196" t="s">
        <v>120</v>
      </c>
      <c r="C133" s="199">
        <f t="shared" si="6"/>
        <v>34442</v>
      </c>
      <c r="D133" s="201">
        <f t="shared" si="7"/>
        <v>2.704287454528465E-4</v>
      </c>
      <c r="E133" s="269"/>
      <c r="F133" s="254">
        <f>VLOOKUP(A133,'OPEB Amounts_Report'!$A$10:$A$324,1,FALSE)</f>
        <v>7420</v>
      </c>
      <c r="G133" s="116"/>
      <c r="H133" s="117"/>
    </row>
    <row r="134" spans="1:8">
      <c r="A134" s="193">
        <v>6018</v>
      </c>
      <c r="B134" s="194" t="s">
        <v>121</v>
      </c>
      <c r="C134" s="198">
        <f t="shared" si="6"/>
        <v>116952</v>
      </c>
      <c r="D134" s="200">
        <f t="shared" si="7"/>
        <v>9.1827369601652929E-4</v>
      </c>
      <c r="E134" s="269"/>
      <c r="F134" s="254">
        <f>VLOOKUP(A134,'OPEB Amounts_Report'!$A$10:$A$324,1,FALSE)</f>
        <v>6018</v>
      </c>
      <c r="G134" s="116"/>
      <c r="H134" s="117"/>
    </row>
    <row r="135" spans="1:8">
      <c r="A135" s="195">
        <v>3321</v>
      </c>
      <c r="B135" s="196" t="s">
        <v>122</v>
      </c>
      <c r="C135" s="199">
        <f t="shared" si="6"/>
        <v>34845</v>
      </c>
      <c r="D135" s="201">
        <f t="shared" si="7"/>
        <v>2.7359298633367502E-4</v>
      </c>
      <c r="E135" s="269"/>
      <c r="F135" s="254">
        <f>VLOOKUP(A135,'OPEB Amounts_Report'!$A$10:$A$324,1,FALSE)</f>
        <v>3321</v>
      </c>
      <c r="G135" s="116"/>
      <c r="H135" s="117"/>
    </row>
    <row r="136" spans="1:8">
      <c r="A136" s="193">
        <v>29122</v>
      </c>
      <c r="B136" s="194" t="s">
        <v>123</v>
      </c>
      <c r="C136" s="198">
        <f t="shared" si="6"/>
        <v>45044</v>
      </c>
      <c r="D136" s="200">
        <f t="shared" si="7"/>
        <v>3.5367262093310541E-4</v>
      </c>
      <c r="E136" s="269"/>
      <c r="F136" s="254">
        <f>VLOOKUP(A136,'OPEB Amounts_Report'!$A$10:$A$324,1,FALSE)</f>
        <v>29122</v>
      </c>
      <c r="G136" s="116"/>
      <c r="H136" s="117"/>
    </row>
    <row r="137" spans="1:8">
      <c r="A137" s="298">
        <v>29088</v>
      </c>
      <c r="B137" s="299" t="s">
        <v>124</v>
      </c>
      <c r="C137" s="300">
        <f t="shared" ref="C137:C168" si="8">+VLOOKUP(A137,$D$321:$F$629,3,FALSE)</f>
        <v>67305</v>
      </c>
      <c r="D137" s="301">
        <f t="shared" ref="D137:D168" si="9">+C137/$C$316</f>
        <v>5.2845963395574684E-4</v>
      </c>
      <c r="E137" s="269"/>
      <c r="F137" s="254">
        <f>VLOOKUP(A137,'OPEB Amounts_Report'!$A$10:$A$324,1,FALSE)</f>
        <v>29088</v>
      </c>
      <c r="G137" s="116"/>
      <c r="H137" s="117"/>
    </row>
    <row r="138" spans="1:8">
      <c r="A138" s="193">
        <v>7337</v>
      </c>
      <c r="B138" s="194" t="s">
        <v>125</v>
      </c>
      <c r="C138" s="198">
        <f t="shared" si="8"/>
        <v>13352</v>
      </c>
      <c r="D138" s="200">
        <f t="shared" si="9"/>
        <v>1.0483608992760021E-4</v>
      </c>
      <c r="E138" s="269"/>
      <c r="F138" s="254">
        <f>VLOOKUP(A138,'OPEB Amounts_Report'!$A$10:$A$324,1,FALSE)</f>
        <v>7337</v>
      </c>
      <c r="G138" s="116"/>
      <c r="H138" s="117"/>
    </row>
    <row r="139" spans="1:8">
      <c r="A139" s="195">
        <v>2329</v>
      </c>
      <c r="B139" s="196" t="s">
        <v>126</v>
      </c>
      <c r="C139" s="199">
        <f t="shared" si="8"/>
        <v>45591</v>
      </c>
      <c r="D139" s="201">
        <f t="shared" si="9"/>
        <v>3.5796750867954022E-4</v>
      </c>
      <c r="E139" s="269"/>
      <c r="F139" s="254">
        <f>VLOOKUP(A139,'OPEB Amounts_Report'!$A$10:$A$324,1,FALSE)</f>
        <v>2329</v>
      </c>
      <c r="G139" s="116"/>
      <c r="H139" s="117"/>
    </row>
    <row r="140" spans="1:8">
      <c r="A140" s="193">
        <v>4010</v>
      </c>
      <c r="B140" s="194" t="s">
        <v>129</v>
      </c>
      <c r="C140" s="198">
        <f t="shared" si="8"/>
        <v>37816</v>
      </c>
      <c r="D140" s="200">
        <f t="shared" si="9"/>
        <v>2.969204296511481E-4</v>
      </c>
      <c r="E140" s="269"/>
      <c r="F140" s="254">
        <f>VLOOKUP(A140,'OPEB Amounts_Report'!$A$10:$A$324,1,FALSE)</f>
        <v>4010</v>
      </c>
      <c r="G140" s="116"/>
      <c r="H140" s="117"/>
    </row>
    <row r="141" spans="1:8">
      <c r="A141" s="195">
        <v>7023</v>
      </c>
      <c r="B141" s="196" t="s">
        <v>421</v>
      </c>
      <c r="C141" s="199">
        <f t="shared" si="8"/>
        <v>4206257</v>
      </c>
      <c r="D141" s="201">
        <f t="shared" si="9"/>
        <v>3.3026328423501936E-2</v>
      </c>
      <c r="E141" s="269"/>
      <c r="F141" s="254">
        <f>VLOOKUP(A141,'OPEB Amounts_Report'!$A$10:$A$324,1,FALSE)</f>
        <v>7023</v>
      </c>
      <c r="G141" s="116"/>
      <c r="H141" s="117"/>
    </row>
    <row r="142" spans="1:8">
      <c r="A142" s="193">
        <v>7338</v>
      </c>
      <c r="B142" s="194" t="s">
        <v>131</v>
      </c>
      <c r="C142" s="198">
        <f t="shared" si="8"/>
        <v>30822</v>
      </c>
      <c r="D142" s="200">
        <f t="shared" si="9"/>
        <v>2.4200553952580091E-4</v>
      </c>
      <c r="E142" s="269"/>
      <c r="F142" s="254">
        <f>VLOOKUP(A142,'OPEB Amounts_Report'!$A$10:$A$324,1,FALSE)</f>
        <v>7338</v>
      </c>
      <c r="G142" s="116"/>
      <c r="H142" s="117"/>
    </row>
    <row r="143" spans="1:8">
      <c r="A143" s="195">
        <v>12037</v>
      </c>
      <c r="B143" s="196" t="s">
        <v>132</v>
      </c>
      <c r="C143" s="199">
        <f t="shared" si="8"/>
        <v>245347</v>
      </c>
      <c r="D143" s="201">
        <f t="shared" si="9"/>
        <v>1.9263945592770317E-3</v>
      </c>
      <c r="E143" s="269"/>
      <c r="F143" s="254">
        <f>VLOOKUP(A143,'OPEB Amounts_Report'!$A$10:$A$324,1,FALSE)</f>
        <v>12037</v>
      </c>
      <c r="G143" s="116"/>
      <c r="H143" s="117"/>
    </row>
    <row r="144" spans="1:8">
      <c r="A144" s="193">
        <v>3150</v>
      </c>
      <c r="B144" s="194" t="s">
        <v>133</v>
      </c>
      <c r="C144" s="198">
        <f t="shared" si="8"/>
        <v>551424</v>
      </c>
      <c r="D144" s="200">
        <f t="shared" si="9"/>
        <v>4.3296237306948036E-3</v>
      </c>
      <c r="E144" s="269"/>
      <c r="F144" s="254">
        <f>VLOOKUP(A144,'OPEB Amounts_Report'!$A$10:$A$324,1,FALSE)</f>
        <v>3150</v>
      </c>
      <c r="G144" s="116"/>
      <c r="H144" s="117"/>
    </row>
    <row r="145" spans="1:8">
      <c r="A145" s="195">
        <v>3160</v>
      </c>
      <c r="B145" s="196" t="s">
        <v>134</v>
      </c>
      <c r="C145" s="199">
        <f t="shared" si="8"/>
        <v>117995</v>
      </c>
      <c r="D145" s="201">
        <f t="shared" si="9"/>
        <v>9.2646303407783006E-4</v>
      </c>
      <c r="E145" s="269"/>
      <c r="F145" s="254">
        <f>VLOOKUP(A145,'OPEB Amounts_Report'!$A$10:$A$324,1,FALSE)</f>
        <v>3160</v>
      </c>
      <c r="G145" s="116"/>
      <c r="H145" s="117"/>
    </row>
    <row r="146" spans="1:8">
      <c r="A146" s="193">
        <v>10120</v>
      </c>
      <c r="B146" s="194" t="s">
        <v>135</v>
      </c>
      <c r="C146" s="198">
        <f t="shared" si="8"/>
        <v>57587</v>
      </c>
      <c r="D146" s="200">
        <f t="shared" si="9"/>
        <v>4.5215667395601507E-4</v>
      </c>
      <c r="E146" s="269"/>
      <c r="F146" s="254">
        <f>VLOOKUP(A146,'OPEB Amounts_Report'!$A$10:$A$324,1,FALSE)</f>
        <v>10120</v>
      </c>
      <c r="G146" s="116"/>
      <c r="H146" s="117"/>
    </row>
    <row r="147" spans="1:8">
      <c r="A147" s="195">
        <v>23070</v>
      </c>
      <c r="B147" s="196" t="s">
        <v>136</v>
      </c>
      <c r="C147" s="199">
        <f t="shared" si="8"/>
        <v>85337</v>
      </c>
      <c r="D147" s="201">
        <f t="shared" si="9"/>
        <v>6.7004174701554959E-4</v>
      </c>
      <c r="E147" s="269"/>
      <c r="F147" s="254">
        <f>VLOOKUP(A147,'OPEB Amounts_Report'!$A$10:$A$324,1,FALSE)</f>
        <v>23070</v>
      </c>
      <c r="G147" s="116"/>
      <c r="H147" s="117"/>
    </row>
    <row r="148" spans="1:8">
      <c r="A148" s="193">
        <v>3170</v>
      </c>
      <c r="B148" s="194" t="s">
        <v>137</v>
      </c>
      <c r="C148" s="198">
        <f t="shared" si="8"/>
        <v>1270705</v>
      </c>
      <c r="D148" s="200">
        <f t="shared" si="9"/>
        <v>9.9772126761122834E-3</v>
      </c>
      <c r="E148" s="269"/>
      <c r="F148" s="254">
        <f>VLOOKUP(A148,'OPEB Amounts_Report'!$A$10:$A$324,1,FALSE)</f>
        <v>3170</v>
      </c>
      <c r="G148" s="116"/>
      <c r="H148" s="117"/>
    </row>
    <row r="149" spans="1:8">
      <c r="A149" s="195">
        <v>32093</v>
      </c>
      <c r="B149" s="196" t="s">
        <v>138</v>
      </c>
      <c r="C149" s="199">
        <f t="shared" si="8"/>
        <v>773102</v>
      </c>
      <c r="D149" s="201">
        <f t="shared" si="9"/>
        <v>6.0701760631521554E-3</v>
      </c>
      <c r="E149" s="269"/>
      <c r="F149" s="254">
        <f>VLOOKUP(A149,'OPEB Amounts_Report'!$A$10:$A$324,1,FALSE)</f>
        <v>32093</v>
      </c>
      <c r="G149" s="116"/>
      <c r="H149" s="117"/>
    </row>
    <row r="150" spans="1:8">
      <c r="A150" s="193">
        <v>14045</v>
      </c>
      <c r="B150" s="194" t="s">
        <v>139</v>
      </c>
      <c r="C150" s="198">
        <f t="shared" si="8"/>
        <v>1458267</v>
      </c>
      <c r="D150" s="200">
        <f t="shared" si="9"/>
        <v>1.1449895921993093E-2</v>
      </c>
      <c r="E150" s="269"/>
      <c r="F150" s="254">
        <f>VLOOKUP(A150,'OPEB Amounts_Report'!$A$10:$A$324,1,FALSE)</f>
        <v>14045</v>
      </c>
      <c r="G150" s="116"/>
      <c r="H150" s="117"/>
    </row>
    <row r="151" spans="1:8">
      <c r="A151" s="195">
        <v>2322</v>
      </c>
      <c r="B151" s="196" t="s">
        <v>140</v>
      </c>
      <c r="C151" s="199">
        <f t="shared" si="8"/>
        <v>26101</v>
      </c>
      <c r="D151" s="201">
        <f t="shared" si="9"/>
        <v>2.0493759610547431E-4</v>
      </c>
      <c r="E151" s="269"/>
      <c r="F151" s="254">
        <f>VLOOKUP(A151,'OPEB Amounts_Report'!$A$10:$A$324,1,FALSE)</f>
        <v>2322</v>
      </c>
      <c r="G151" s="116"/>
      <c r="H151" s="117"/>
    </row>
    <row r="152" spans="1:8">
      <c r="A152" s="193">
        <v>3006</v>
      </c>
      <c r="B152" s="194" t="s">
        <v>141</v>
      </c>
      <c r="C152" s="198">
        <f t="shared" si="8"/>
        <v>114247</v>
      </c>
      <c r="D152" s="200">
        <f t="shared" si="9"/>
        <v>8.9703480871468995E-4</v>
      </c>
      <c r="E152" s="269"/>
      <c r="F152" s="254">
        <f>VLOOKUP(A152,'OPEB Amounts_Report'!$A$10:$A$324,1,FALSE)</f>
        <v>3006</v>
      </c>
      <c r="G152" s="116"/>
      <c r="H152" s="117"/>
    </row>
    <row r="153" spans="1:8">
      <c r="A153" s="195">
        <v>6019</v>
      </c>
      <c r="B153" s="196" t="s">
        <v>142</v>
      </c>
      <c r="C153" s="199">
        <f t="shared" si="8"/>
        <v>611274</v>
      </c>
      <c r="D153" s="201">
        <f t="shared" si="9"/>
        <v>4.7995488342123943E-3</v>
      </c>
      <c r="E153" s="269"/>
      <c r="F153" s="254">
        <f>VLOOKUP(A153,'OPEB Amounts_Report'!$A$10:$A$324,1,FALSE)</f>
        <v>6019</v>
      </c>
      <c r="G153" s="116"/>
      <c r="H153" s="117"/>
    </row>
    <row r="154" spans="1:8">
      <c r="A154" s="193">
        <v>12128</v>
      </c>
      <c r="B154" s="194" t="s">
        <v>143</v>
      </c>
      <c r="C154" s="198">
        <f t="shared" si="8"/>
        <v>117849</v>
      </c>
      <c r="D154" s="200">
        <f t="shared" si="9"/>
        <v>9.2531668378353481E-4</v>
      </c>
      <c r="E154" s="269"/>
      <c r="F154" s="254">
        <f>VLOOKUP(A154,'OPEB Amounts_Report'!$A$10:$A$324,1,FALSE)</f>
        <v>12128</v>
      </c>
      <c r="G154" s="116"/>
      <c r="H154" s="117"/>
    </row>
    <row r="155" spans="1:8">
      <c r="A155" s="195">
        <v>3180</v>
      </c>
      <c r="B155" s="196" t="s">
        <v>144</v>
      </c>
      <c r="C155" s="199">
        <f t="shared" si="8"/>
        <v>218590</v>
      </c>
      <c r="D155" s="201">
        <f t="shared" si="9"/>
        <v>1.7163062385615734E-3</v>
      </c>
      <c r="E155" s="269"/>
      <c r="F155" s="254">
        <f>VLOOKUP(A155,'OPEB Amounts_Report'!$A$10:$A$324,1,FALSE)</f>
        <v>3180</v>
      </c>
      <c r="G155" s="116"/>
      <c r="H155" s="117"/>
    </row>
    <row r="156" spans="1:8">
      <c r="A156" s="193">
        <v>25075</v>
      </c>
      <c r="B156" s="194" t="s">
        <v>145</v>
      </c>
      <c r="C156" s="198">
        <f t="shared" si="8"/>
        <v>95664</v>
      </c>
      <c r="D156" s="200">
        <f t="shared" si="9"/>
        <v>7.5112640105107448E-4</v>
      </c>
      <c r="E156" s="269"/>
      <c r="F156" s="254">
        <f>VLOOKUP(A156,'OPEB Amounts_Report'!$A$10:$A$324,1,FALSE)</f>
        <v>25075</v>
      </c>
      <c r="G156" s="116"/>
      <c r="H156" s="117"/>
    </row>
    <row r="157" spans="1:8">
      <c r="A157" s="195">
        <v>2311</v>
      </c>
      <c r="B157" s="196" t="s">
        <v>422</v>
      </c>
      <c r="C157" s="199">
        <f t="shared" si="8"/>
        <v>39408</v>
      </c>
      <c r="D157" s="201">
        <f t="shared" si="9"/>
        <v>3.0942035888757258E-4</v>
      </c>
      <c r="E157" s="269"/>
      <c r="F157" s="254">
        <f>VLOOKUP(A157,'OPEB Amounts_Report'!$A$10:$A$324,1,FALSE)</f>
        <v>2311</v>
      </c>
      <c r="G157" s="116"/>
      <c r="H157" s="117"/>
    </row>
    <row r="158" spans="1:8" s="132" customFormat="1">
      <c r="A158" s="193">
        <v>9028</v>
      </c>
      <c r="B158" s="194" t="s">
        <v>146</v>
      </c>
      <c r="C158" s="198">
        <f t="shared" si="8"/>
        <v>32415</v>
      </c>
      <c r="D158" s="200">
        <f t="shared" si="9"/>
        <v>2.5451332047656986E-4</v>
      </c>
      <c r="E158" s="269"/>
      <c r="F158" s="254">
        <f>VLOOKUP(A158,'OPEB Amounts_Report'!$A$10:$A$324,1,FALSE)</f>
        <v>9028</v>
      </c>
      <c r="G158" s="116"/>
      <c r="H158" s="117"/>
    </row>
    <row r="159" spans="1:8">
      <c r="A159" s="195">
        <v>17424</v>
      </c>
      <c r="B159" s="196" t="s">
        <v>147</v>
      </c>
      <c r="C159" s="199">
        <f t="shared" si="8"/>
        <v>69313</v>
      </c>
      <c r="D159" s="201">
        <f t="shared" si="9"/>
        <v>5.4422587635947822E-4</v>
      </c>
      <c r="E159" s="269"/>
      <c r="F159" s="254">
        <f>VLOOKUP(A159,'OPEB Amounts_Report'!$A$10:$A$324,1,FALSE)</f>
        <v>17424</v>
      </c>
      <c r="G159" s="116"/>
      <c r="H159" s="117"/>
    </row>
    <row r="160" spans="1:8">
      <c r="A160" s="193">
        <v>3200</v>
      </c>
      <c r="B160" s="194" t="s">
        <v>148</v>
      </c>
      <c r="C160" s="198">
        <f t="shared" si="8"/>
        <v>226692</v>
      </c>
      <c r="D160" s="200">
        <f t="shared" si="9"/>
        <v>1.779920828180613E-3</v>
      </c>
      <c r="E160" s="269"/>
      <c r="F160" s="254">
        <f>VLOOKUP(A160,'OPEB Amounts_Report'!$A$10:$A$324,1,FALSE)</f>
        <v>3200</v>
      </c>
      <c r="G160" s="116"/>
      <c r="H160" s="117"/>
    </row>
    <row r="161" spans="1:8">
      <c r="A161" s="195">
        <v>2365</v>
      </c>
      <c r="B161" s="196" t="s">
        <v>149</v>
      </c>
      <c r="C161" s="199">
        <f t="shared" si="8"/>
        <v>26966</v>
      </c>
      <c r="D161" s="201">
        <f t="shared" si="9"/>
        <v>2.117293290134562E-4</v>
      </c>
      <c r="E161" s="269"/>
      <c r="F161" s="254">
        <f>VLOOKUP(A161,'OPEB Amounts_Report'!$A$10:$A$324,1,FALSE)</f>
        <v>2365</v>
      </c>
      <c r="G161" s="116"/>
      <c r="H161" s="117"/>
    </row>
    <row r="162" spans="1:8">
      <c r="A162" s="193">
        <v>5014</v>
      </c>
      <c r="B162" s="194" t="s">
        <v>150</v>
      </c>
      <c r="C162" s="198">
        <f t="shared" si="8"/>
        <v>48924</v>
      </c>
      <c r="D162" s="200">
        <f t="shared" si="9"/>
        <v>3.8413727258971783E-4</v>
      </c>
      <c r="E162" s="269"/>
      <c r="F162" s="254">
        <f>VLOOKUP(A162,'OPEB Amounts_Report'!$A$10:$A$324,1,FALSE)</f>
        <v>5014</v>
      </c>
      <c r="G162" s="116"/>
      <c r="H162" s="117"/>
    </row>
    <row r="163" spans="1:8">
      <c r="A163" s="195">
        <v>17127</v>
      </c>
      <c r="B163" s="196" t="s">
        <v>151</v>
      </c>
      <c r="C163" s="199">
        <f t="shared" si="8"/>
        <v>55317</v>
      </c>
      <c r="D163" s="201">
        <f t="shared" si="9"/>
        <v>4.3433328239402788E-4</v>
      </c>
      <c r="E163" s="269"/>
      <c r="F163" s="254">
        <f>VLOOKUP(A163,'OPEB Amounts_Report'!$A$10:$A$324,1,FALSE)</f>
        <v>17127</v>
      </c>
      <c r="G163" s="116"/>
      <c r="H163" s="117"/>
    </row>
    <row r="164" spans="1:8">
      <c r="A164" s="193">
        <v>10141</v>
      </c>
      <c r="B164" s="194" t="s">
        <v>152</v>
      </c>
      <c r="C164" s="198">
        <f t="shared" si="8"/>
        <v>71155</v>
      </c>
      <c r="D164" s="200">
        <f t="shared" si="9"/>
        <v>5.5868873418202464E-4</v>
      </c>
      <c r="E164" s="269"/>
      <c r="F164" s="254">
        <f>VLOOKUP(A164,'OPEB Amounts_Report'!$A$10:$A$324,1,FALSE)</f>
        <v>10141</v>
      </c>
      <c r="G164" s="116"/>
      <c r="H164" s="117"/>
    </row>
    <row r="165" spans="1:8">
      <c r="A165" s="195">
        <v>13369</v>
      </c>
      <c r="B165" s="196" t="s">
        <v>153</v>
      </c>
      <c r="C165" s="199">
        <f t="shared" si="8"/>
        <v>18059</v>
      </c>
      <c r="D165" s="201">
        <f t="shared" si="9"/>
        <v>1.4179410934710395E-4</v>
      </c>
      <c r="E165" s="269"/>
      <c r="F165" s="254">
        <f>VLOOKUP(A165,'OPEB Amounts_Report'!$A$10:$A$324,1,FALSE)</f>
        <v>13369</v>
      </c>
      <c r="G165" s="116"/>
      <c r="H165" s="117"/>
    </row>
    <row r="166" spans="1:8">
      <c r="A166" s="193">
        <v>4570</v>
      </c>
      <c r="B166" s="194" t="s">
        <v>400</v>
      </c>
      <c r="C166" s="198">
        <f t="shared" si="8"/>
        <v>193245</v>
      </c>
      <c r="D166" s="200">
        <f t="shared" si="9"/>
        <v>1.5173045385005318E-3</v>
      </c>
      <c r="E166" s="269"/>
      <c r="F166" s="254">
        <f>VLOOKUP(A166,'OPEB Amounts_Report'!$A$10:$A$324,1,FALSE)</f>
        <v>4570</v>
      </c>
      <c r="G166" s="116"/>
      <c r="H166" s="117"/>
    </row>
    <row r="167" spans="1:8">
      <c r="A167" s="195">
        <v>2425</v>
      </c>
      <c r="B167" s="196" t="s">
        <v>154</v>
      </c>
      <c r="C167" s="199">
        <f t="shared" si="8"/>
        <v>321573</v>
      </c>
      <c r="D167" s="201">
        <f t="shared" si="9"/>
        <v>2.5248993368999538E-3</v>
      </c>
      <c r="E167" s="269"/>
      <c r="F167" s="254">
        <f>VLOOKUP(A167,'OPEB Amounts_Report'!$A$10:$A$324,1,FALSE)</f>
        <v>2425</v>
      </c>
      <c r="G167" s="116"/>
      <c r="H167" s="117"/>
    </row>
    <row r="168" spans="1:8">
      <c r="A168" s="193">
        <v>1306</v>
      </c>
      <c r="B168" s="194" t="s">
        <v>155</v>
      </c>
      <c r="C168" s="198">
        <f t="shared" si="8"/>
        <v>54451</v>
      </c>
      <c r="D168" s="200">
        <f t="shared" si="9"/>
        <v>4.2753369777170154E-4</v>
      </c>
      <c r="E168" s="269"/>
      <c r="F168" s="254">
        <f>VLOOKUP(A168,'OPEB Amounts_Report'!$A$10:$A$324,1,FALSE)</f>
        <v>1306</v>
      </c>
      <c r="G168" s="116"/>
      <c r="H168" s="117"/>
    </row>
    <row r="169" spans="1:8">
      <c r="A169" s="195">
        <v>2351</v>
      </c>
      <c r="B169" s="196" t="s">
        <v>156</v>
      </c>
      <c r="C169" s="199">
        <f t="shared" ref="C169:C200" si="10">+VLOOKUP(A169,$D$321:$F$629,3,FALSE)</f>
        <v>59832</v>
      </c>
      <c r="D169" s="201">
        <f t="shared" ref="D169:D200" si="11">+C169/$C$316</f>
        <v>4.6978377265939001E-4</v>
      </c>
      <c r="E169" s="269"/>
      <c r="F169" s="254">
        <f>VLOOKUP(A169,'OPEB Amounts_Report'!$A$10:$A$324,1,FALSE)</f>
        <v>2351</v>
      </c>
      <c r="G169" s="116"/>
      <c r="H169" s="117"/>
    </row>
    <row r="170" spans="1:8">
      <c r="A170" s="193">
        <v>2334</v>
      </c>
      <c r="B170" s="194" t="s">
        <v>157</v>
      </c>
      <c r="C170" s="198">
        <f t="shared" si="10"/>
        <v>41767</v>
      </c>
      <c r="D170" s="200">
        <f t="shared" si="11"/>
        <v>3.2794255302621912E-4</v>
      </c>
      <c r="E170" s="269"/>
      <c r="F170" s="254">
        <f>VLOOKUP(A170,'OPEB Amounts_Report'!$A$10:$A$324,1,FALSE)</f>
        <v>2334</v>
      </c>
      <c r="G170" s="116"/>
      <c r="H170" s="117"/>
    </row>
    <row r="171" spans="1:8">
      <c r="A171" s="195">
        <v>30089</v>
      </c>
      <c r="B171" s="196" t="s">
        <v>158</v>
      </c>
      <c r="C171" s="199">
        <f t="shared" si="10"/>
        <v>104735</v>
      </c>
      <c r="D171" s="201">
        <f t="shared" si="11"/>
        <v>8.2234930186992272E-4</v>
      </c>
      <c r="E171" s="269"/>
      <c r="F171" s="254">
        <f>VLOOKUP(A171,'OPEB Amounts_Report'!$A$10:$A$324,1,FALSE)</f>
        <v>30089</v>
      </c>
      <c r="G171" s="116"/>
      <c r="H171" s="117"/>
    </row>
    <row r="172" spans="1:8">
      <c r="A172" s="193">
        <v>9324</v>
      </c>
      <c r="B172" s="194" t="s">
        <v>159</v>
      </c>
      <c r="C172" s="198">
        <f t="shared" si="10"/>
        <v>12624</v>
      </c>
      <c r="D172" s="200">
        <f t="shared" si="11"/>
        <v>9.9120041884813136E-5</v>
      </c>
      <c r="E172" s="269"/>
      <c r="F172" s="254">
        <f>VLOOKUP(A172,'OPEB Amounts_Report'!$A$10:$A$324,1,FALSE)</f>
        <v>9324</v>
      </c>
      <c r="G172" s="116"/>
      <c r="H172" s="117"/>
    </row>
    <row r="173" spans="1:8">
      <c r="A173" s="195">
        <v>22066</v>
      </c>
      <c r="B173" s="196" t="s">
        <v>160</v>
      </c>
      <c r="C173" s="199">
        <f t="shared" si="10"/>
        <v>445899</v>
      </c>
      <c r="D173" s="201">
        <f t="shared" si="11"/>
        <v>3.5010715744927356E-3</v>
      </c>
      <c r="E173" s="269"/>
      <c r="F173" s="254">
        <f>VLOOKUP(A173,'OPEB Amounts_Report'!$A$10:$A$324,1,FALSE)</f>
        <v>22066</v>
      </c>
      <c r="G173" s="116"/>
      <c r="H173" s="117"/>
    </row>
    <row r="174" spans="1:8">
      <c r="A174" s="193">
        <v>16356</v>
      </c>
      <c r="B174" s="194" t="s">
        <v>161</v>
      </c>
      <c r="C174" s="198">
        <f t="shared" si="10"/>
        <v>27616</v>
      </c>
      <c r="D174" s="200">
        <f t="shared" si="11"/>
        <v>2.1683294333737322E-4</v>
      </c>
      <c r="E174" s="269"/>
      <c r="F174" s="254">
        <f>VLOOKUP(A174,'OPEB Amounts_Report'!$A$10:$A$324,1,FALSE)</f>
        <v>16356</v>
      </c>
      <c r="G174" s="116"/>
      <c r="H174" s="117"/>
    </row>
    <row r="175" spans="1:8">
      <c r="A175" s="195">
        <v>31091</v>
      </c>
      <c r="B175" s="196" t="s">
        <v>162</v>
      </c>
      <c r="C175" s="199">
        <f t="shared" si="10"/>
        <v>26024</v>
      </c>
      <c r="D175" s="201">
        <f t="shared" si="11"/>
        <v>2.0433301410094874E-4</v>
      </c>
      <c r="E175" s="269"/>
      <c r="F175" s="254">
        <f>VLOOKUP(A175,'OPEB Amounts_Report'!$A$10:$A$324,1,FALSE)</f>
        <v>31091</v>
      </c>
      <c r="G175" s="116"/>
      <c r="H175" s="117"/>
    </row>
    <row r="176" spans="1:8">
      <c r="A176" s="193">
        <v>2342</v>
      </c>
      <c r="B176" s="194" t="s">
        <v>163</v>
      </c>
      <c r="C176" s="198">
        <f t="shared" si="10"/>
        <v>42110</v>
      </c>
      <c r="D176" s="200">
        <f t="shared" si="11"/>
        <v>3.306356910463784E-4</v>
      </c>
      <c r="E176" s="269"/>
      <c r="F176" s="254">
        <f>VLOOKUP(A176,'OPEB Amounts_Report'!$A$10:$A$324,1,FALSE)</f>
        <v>2342</v>
      </c>
      <c r="G176" s="116"/>
      <c r="H176" s="117"/>
    </row>
    <row r="177" spans="1:8">
      <c r="A177" s="195">
        <v>22067</v>
      </c>
      <c r="B177" s="196" t="s">
        <v>164</v>
      </c>
      <c r="C177" s="199">
        <f t="shared" si="10"/>
        <v>60366</v>
      </c>
      <c r="D177" s="201">
        <f t="shared" si="11"/>
        <v>4.7397658811934644E-4</v>
      </c>
      <c r="E177" s="269"/>
      <c r="F177" s="254">
        <f>VLOOKUP(A177,'OPEB Amounts_Report'!$A$10:$A$324,1,FALSE)</f>
        <v>22067</v>
      </c>
      <c r="G177" s="116"/>
      <c r="H177" s="117"/>
    </row>
    <row r="178" spans="1:8">
      <c r="A178" s="193">
        <v>32112</v>
      </c>
      <c r="B178" s="194" t="s">
        <v>165</v>
      </c>
      <c r="C178" s="198">
        <f t="shared" si="10"/>
        <v>23332</v>
      </c>
      <c r="D178" s="200">
        <f t="shared" si="11"/>
        <v>1.8319619908558778E-4</v>
      </c>
      <c r="E178" s="269"/>
      <c r="F178" s="254">
        <f>VLOOKUP(A178,'OPEB Amounts_Report'!$A$10:$A$324,1,FALSE)</f>
        <v>32112</v>
      </c>
      <c r="G178" s="116"/>
      <c r="H178" s="117"/>
    </row>
    <row r="179" spans="1:8">
      <c r="A179" s="195">
        <v>2354</v>
      </c>
      <c r="B179" s="196" t="s">
        <v>166</v>
      </c>
      <c r="C179" s="199">
        <f t="shared" si="10"/>
        <v>94015</v>
      </c>
      <c r="D179" s="201">
        <f t="shared" si="11"/>
        <v>7.3817892409701422E-4</v>
      </c>
      <c r="E179" s="269"/>
      <c r="F179" s="254">
        <f>VLOOKUP(A179,'OPEB Amounts_Report'!$A$10:$A$324,1,FALSE)</f>
        <v>2354</v>
      </c>
      <c r="G179" s="116"/>
      <c r="H179" s="117"/>
    </row>
    <row r="180" spans="1:8">
      <c r="A180" s="193">
        <v>2148</v>
      </c>
      <c r="B180" s="194" t="s">
        <v>167</v>
      </c>
      <c r="C180" s="198">
        <f t="shared" si="10"/>
        <v>27570</v>
      </c>
      <c r="D180" s="200">
        <f t="shared" si="11"/>
        <v>2.1647176447752678E-4</v>
      </c>
      <c r="E180" s="269"/>
      <c r="F180" s="254">
        <f>VLOOKUP(A180,'OPEB Amounts_Report'!$A$10:$A$324,1,FALSE)</f>
        <v>2148</v>
      </c>
      <c r="G180" s="116"/>
      <c r="H180" s="117"/>
    </row>
    <row r="181" spans="1:8">
      <c r="A181" s="195">
        <v>1418</v>
      </c>
      <c r="B181" s="196" t="s">
        <v>168</v>
      </c>
      <c r="C181" s="199">
        <f t="shared" si="10"/>
        <v>126291</v>
      </c>
      <c r="D181" s="201">
        <f t="shared" si="11"/>
        <v>9.9160085627970017E-4</v>
      </c>
      <c r="E181" s="269"/>
      <c r="F181" s="254">
        <f>VLOOKUP(A181,'OPEB Amounts_Report'!$A$10:$A$324,1,FALSE)</f>
        <v>1418</v>
      </c>
      <c r="G181" s="116"/>
      <c r="H181" s="117"/>
    </row>
    <row r="182" spans="1:8">
      <c r="A182" s="193">
        <v>12102</v>
      </c>
      <c r="B182" s="194" t="s">
        <v>169</v>
      </c>
      <c r="C182" s="198">
        <f t="shared" si="10"/>
        <v>631193</v>
      </c>
      <c r="D182" s="200">
        <f t="shared" si="11"/>
        <v>4.9559471322402453E-3</v>
      </c>
      <c r="E182" s="269"/>
      <c r="F182" s="254">
        <f>VLOOKUP(A182,'OPEB Amounts_Report'!$A$10:$A$324,1,FALSE)</f>
        <v>12102</v>
      </c>
      <c r="G182" s="116"/>
      <c r="H182" s="117"/>
    </row>
    <row r="183" spans="1:8">
      <c r="A183" s="195">
        <v>2414</v>
      </c>
      <c r="B183" s="196" t="s">
        <v>170</v>
      </c>
      <c r="C183" s="199">
        <f t="shared" si="10"/>
        <v>63798</v>
      </c>
      <c r="D183" s="201">
        <f t="shared" si="11"/>
        <v>5.0092367174962838E-4</v>
      </c>
      <c r="E183" s="269"/>
      <c r="F183" s="254">
        <f>VLOOKUP(A183,'OPEB Amounts_Report'!$A$10:$A$324,1,FALSE)</f>
        <v>2414</v>
      </c>
      <c r="G183" s="116"/>
      <c r="H183" s="117"/>
    </row>
    <row r="184" spans="1:8">
      <c r="A184" s="193">
        <v>6124</v>
      </c>
      <c r="B184" s="194" t="s">
        <v>171</v>
      </c>
      <c r="C184" s="198">
        <f t="shared" si="10"/>
        <v>377527</v>
      </c>
      <c r="D184" s="200">
        <f t="shared" si="11"/>
        <v>2.9642341613314201E-3</v>
      </c>
      <c r="E184" s="269"/>
      <c r="F184" s="254">
        <f>VLOOKUP(A184,'OPEB Amounts_Report'!$A$10:$A$324,1,FALSE)</f>
        <v>6124</v>
      </c>
      <c r="G184" s="116"/>
      <c r="H184" s="117"/>
    </row>
    <row r="185" spans="1:8">
      <c r="A185" s="195">
        <v>4097</v>
      </c>
      <c r="B185" s="223" t="s">
        <v>172</v>
      </c>
      <c r="C185" s="265">
        <f t="shared" si="10"/>
        <v>363581</v>
      </c>
      <c r="D185" s="224">
        <f t="shared" si="11"/>
        <v>2.8547341530831944E-3</v>
      </c>
      <c r="E185" s="269"/>
      <c r="F185" s="254">
        <f>VLOOKUP(A185,'OPEB Amounts_Report'!$A$10:$A$324,1,FALSE)</f>
        <v>4097</v>
      </c>
      <c r="G185" s="116"/>
      <c r="H185" s="117"/>
    </row>
    <row r="186" spans="1:8">
      <c r="A186" s="193">
        <v>1416</v>
      </c>
      <c r="B186" s="194" t="s">
        <v>173</v>
      </c>
      <c r="C186" s="198">
        <f t="shared" si="10"/>
        <v>54824</v>
      </c>
      <c r="D186" s="200">
        <f t="shared" si="11"/>
        <v>4.3046238722219544E-4</v>
      </c>
      <c r="E186" s="269"/>
      <c r="F186" s="254">
        <f>VLOOKUP(A186,'OPEB Amounts_Report'!$A$10:$A$324,1,FALSE)</f>
        <v>1416</v>
      </c>
      <c r="G186" s="116"/>
      <c r="H186" s="117"/>
    </row>
    <row r="187" spans="1:8">
      <c r="A187" s="195">
        <v>1094</v>
      </c>
      <c r="B187" s="196" t="s">
        <v>174</v>
      </c>
      <c r="C187" s="199">
        <f t="shared" si="10"/>
        <v>242502</v>
      </c>
      <c r="D187" s="201">
        <f t="shared" si="11"/>
        <v>1.904056431966964E-3</v>
      </c>
      <c r="E187" s="269"/>
      <c r="F187" s="254">
        <f>VLOOKUP(A187,'OPEB Amounts_Report'!$A$10:$A$324,1,FALSE)</f>
        <v>1094</v>
      </c>
      <c r="G187" s="116"/>
      <c r="H187" s="117"/>
    </row>
    <row r="188" spans="1:8">
      <c r="A188" s="193">
        <v>32111</v>
      </c>
      <c r="B188" s="194" t="s">
        <v>175</v>
      </c>
      <c r="C188" s="198">
        <f t="shared" si="10"/>
        <v>252339</v>
      </c>
      <c r="D188" s="200">
        <f t="shared" si="11"/>
        <v>1.9812937459736898E-3</v>
      </c>
      <c r="E188" s="269"/>
      <c r="F188" s="254">
        <f>VLOOKUP(A188,'OPEB Amounts_Report'!$A$10:$A$324,1,FALSE)</f>
        <v>32111</v>
      </c>
      <c r="G188" s="116"/>
      <c r="H188" s="117"/>
    </row>
    <row r="189" spans="1:8">
      <c r="A189" s="195">
        <v>2520</v>
      </c>
      <c r="B189" s="196" t="s">
        <v>176</v>
      </c>
      <c r="C189" s="199">
        <f t="shared" si="10"/>
        <v>44909</v>
      </c>
      <c r="D189" s="201">
        <f t="shared" si="11"/>
        <v>3.5261263949659959E-4</v>
      </c>
      <c r="E189" s="269"/>
      <c r="F189" s="254">
        <f>VLOOKUP(A189,'OPEB Amounts_Report'!$A$10:$A$324,1,FALSE)</f>
        <v>2520</v>
      </c>
      <c r="G189" s="116"/>
      <c r="H189" s="117"/>
    </row>
    <row r="190" spans="1:8">
      <c r="A190" s="193">
        <v>3450</v>
      </c>
      <c r="B190" s="194" t="s">
        <v>177</v>
      </c>
      <c r="C190" s="198">
        <f t="shared" si="10"/>
        <v>78603</v>
      </c>
      <c r="D190" s="200">
        <f t="shared" si="11"/>
        <v>6.1716830261976927E-4</v>
      </c>
      <c r="E190" s="269"/>
      <c r="F190" s="254">
        <f>VLOOKUP(A190,'OPEB Amounts_Report'!$A$10:$A$324,1,FALSE)</f>
        <v>3450</v>
      </c>
      <c r="G190" s="116"/>
      <c r="H190" s="117"/>
    </row>
    <row r="191" spans="1:8">
      <c r="A191" s="195">
        <v>4310</v>
      </c>
      <c r="B191" s="196" t="s">
        <v>178</v>
      </c>
      <c r="C191" s="199">
        <f t="shared" si="10"/>
        <v>37496</v>
      </c>
      <c r="D191" s="201">
        <f t="shared" si="11"/>
        <v>2.94407881060912E-4</v>
      </c>
      <c r="E191" s="269"/>
      <c r="F191" s="254">
        <f>VLOOKUP(A191,'OPEB Amounts_Report'!$A$10:$A$324,1,FALSE)</f>
        <v>4310</v>
      </c>
      <c r="G191" s="116"/>
      <c r="H191" s="117"/>
    </row>
    <row r="192" spans="1:8" s="191" customFormat="1">
      <c r="A192" s="193">
        <v>4215</v>
      </c>
      <c r="B192" s="194" t="s">
        <v>182</v>
      </c>
      <c r="C192" s="198">
        <f t="shared" si="10"/>
        <v>35707</v>
      </c>
      <c r="D192" s="200">
        <f t="shared" si="11"/>
        <v>2.8036116409862349E-4</v>
      </c>
      <c r="E192" s="269"/>
      <c r="F192" s="254">
        <f>VLOOKUP(A192,'OPEB Amounts_Report'!$A$10:$A$324,1,FALSE)</f>
        <v>4215</v>
      </c>
      <c r="G192" s="116"/>
      <c r="H192" s="117"/>
    </row>
    <row r="193" spans="1:8">
      <c r="A193" s="195">
        <v>2328</v>
      </c>
      <c r="B193" s="196" t="s">
        <v>179</v>
      </c>
      <c r="C193" s="199">
        <f t="shared" si="10"/>
        <v>54995</v>
      </c>
      <c r="D193" s="201">
        <f t="shared" si="11"/>
        <v>4.3180503037510288E-4</v>
      </c>
      <c r="E193" s="269"/>
      <c r="F193" s="254">
        <f>VLOOKUP(A193,'OPEB Amounts_Report'!$A$10:$A$324,1,FALSE)</f>
        <v>2328</v>
      </c>
      <c r="G193" s="116"/>
      <c r="H193" s="117"/>
    </row>
    <row r="194" spans="1:8">
      <c r="A194" s="193">
        <v>12151</v>
      </c>
      <c r="B194" s="194" t="s">
        <v>180</v>
      </c>
      <c r="C194" s="198">
        <f t="shared" si="10"/>
        <v>25751</v>
      </c>
      <c r="D194" s="200">
        <f t="shared" si="11"/>
        <v>2.021894960849036E-4</v>
      </c>
      <c r="E194" s="269"/>
      <c r="F194" s="254">
        <f>VLOOKUP(A194,'OPEB Amounts_Report'!$A$10:$A$324,1,FALSE)</f>
        <v>12151</v>
      </c>
      <c r="G194" s="116"/>
      <c r="H194" s="117"/>
    </row>
    <row r="195" spans="1:8">
      <c r="A195" s="195">
        <v>32110</v>
      </c>
      <c r="B195" s="196" t="s">
        <v>181</v>
      </c>
      <c r="C195" s="199">
        <f t="shared" si="10"/>
        <v>260075</v>
      </c>
      <c r="D195" s="201">
        <f t="shared" si="11"/>
        <v>2.0420346081426472E-3</v>
      </c>
      <c r="E195" s="269"/>
      <c r="F195" s="254">
        <f>VLOOKUP(A195,'OPEB Amounts_Report'!$A$10:$A$324,1,FALSE)</f>
        <v>32110</v>
      </c>
      <c r="G195" s="116"/>
      <c r="H195" s="117"/>
    </row>
    <row r="196" spans="1:8">
      <c r="A196" s="193">
        <v>2870</v>
      </c>
      <c r="B196" s="194" t="s">
        <v>183</v>
      </c>
      <c r="C196" s="198">
        <f t="shared" si="10"/>
        <v>41565</v>
      </c>
      <c r="D196" s="200">
        <f t="shared" si="11"/>
        <v>3.2635650672863261E-4</v>
      </c>
      <c r="E196" s="269"/>
      <c r="F196" s="254">
        <f>VLOOKUP(A196,'OPEB Amounts_Report'!$A$10:$A$324,1,FALSE)</f>
        <v>2870</v>
      </c>
      <c r="G196" s="116"/>
      <c r="H196" s="117"/>
    </row>
    <row r="197" spans="1:8">
      <c r="A197" s="195">
        <v>29150</v>
      </c>
      <c r="B197" s="196" t="s">
        <v>184</v>
      </c>
      <c r="C197" s="199">
        <f t="shared" si="10"/>
        <v>8100</v>
      </c>
      <c r="D197" s="201">
        <f t="shared" si="11"/>
        <v>6.3598886190350631E-5</v>
      </c>
      <c r="E197" s="269"/>
      <c r="F197" s="254">
        <f>VLOOKUP(A197,'OPEB Amounts_Report'!$A$10:$A$324,1,FALSE)</f>
        <v>29150</v>
      </c>
      <c r="G197" s="116"/>
      <c r="H197" s="117"/>
    </row>
    <row r="198" spans="1:8">
      <c r="A198" s="193">
        <v>32118</v>
      </c>
      <c r="B198" s="194" t="s">
        <v>186</v>
      </c>
      <c r="C198" s="198">
        <f t="shared" si="10"/>
        <v>164513</v>
      </c>
      <c r="D198" s="200">
        <f t="shared" si="11"/>
        <v>1.2917090819547104E-3</v>
      </c>
      <c r="E198" s="269"/>
      <c r="F198" s="254">
        <f>VLOOKUP(A198,'OPEB Amounts_Report'!$A$10:$A$324,1,FALSE)</f>
        <v>32118</v>
      </c>
      <c r="G198" s="116"/>
      <c r="H198" s="117"/>
    </row>
    <row r="199" spans="1:8">
      <c r="A199" s="195">
        <v>12039</v>
      </c>
      <c r="B199" s="196" t="s">
        <v>187</v>
      </c>
      <c r="C199" s="199">
        <f t="shared" si="10"/>
        <v>102254</v>
      </c>
      <c r="D199" s="201">
        <f t="shared" si="11"/>
        <v>8.0286919858124856E-4</v>
      </c>
      <c r="E199" s="269"/>
      <c r="F199" s="254">
        <f>VLOOKUP(A199,'OPEB Amounts_Report'!$A$10:$A$324,1,FALSE)</f>
        <v>12039</v>
      </c>
      <c r="G199" s="116"/>
      <c r="H199" s="117"/>
    </row>
    <row r="200" spans="1:8">
      <c r="A200" s="298">
        <v>12150</v>
      </c>
      <c r="B200" s="299" t="s">
        <v>188</v>
      </c>
      <c r="C200" s="300">
        <f t="shared" si="10"/>
        <v>18510</v>
      </c>
      <c r="D200" s="301">
        <f t="shared" si="11"/>
        <v>1.4533523251646793E-4</v>
      </c>
      <c r="E200" s="269"/>
      <c r="F200" s="254">
        <f>VLOOKUP(A200,'OPEB Amounts_Report'!$A$10:$A$324,1,FALSE)</f>
        <v>12150</v>
      </c>
      <c r="G200" s="116"/>
      <c r="H200" s="117"/>
    </row>
    <row r="201" spans="1:8" s="132" customFormat="1">
      <c r="A201" s="193">
        <v>20060</v>
      </c>
      <c r="B201" s="194" t="s">
        <v>189</v>
      </c>
      <c r="C201" s="198">
        <f t="shared" ref="C201:C266" si="12">+VLOOKUP(A201,$D$321:$F$629,3,FALSE)</f>
        <v>76041</v>
      </c>
      <c r="D201" s="200">
        <f t="shared" ref="D201:D202" si="13">+C201/$C$316</f>
        <v>5.9705221046919171E-4</v>
      </c>
      <c r="E201" s="269"/>
      <c r="F201" s="254">
        <f>VLOOKUP(A201,'OPEB Amounts_Report'!$A$10:$A$324,1,FALSE)</f>
        <v>20060</v>
      </c>
      <c r="G201" s="116"/>
      <c r="H201" s="117"/>
    </row>
    <row r="202" spans="1:8">
      <c r="A202" s="195">
        <v>1001</v>
      </c>
      <c r="B202" s="196" t="s">
        <v>190</v>
      </c>
      <c r="C202" s="199">
        <f t="shared" si="12"/>
        <v>290427</v>
      </c>
      <c r="D202" s="201">
        <f t="shared" si="13"/>
        <v>2.2803498419265386E-3</v>
      </c>
      <c r="E202" s="269"/>
      <c r="F202" s="254">
        <f>VLOOKUP(A202,'OPEB Amounts_Report'!$A$10:$A$324,1,FALSE)</f>
        <v>1001</v>
      </c>
      <c r="G202" s="116"/>
      <c r="H202" s="117"/>
    </row>
    <row r="203" spans="1:8">
      <c r="A203" s="193">
        <v>11035</v>
      </c>
      <c r="B203" s="194" t="s">
        <v>191</v>
      </c>
      <c r="C203" s="198">
        <f t="shared" si="12"/>
        <v>515070</v>
      </c>
      <c r="D203" s="200">
        <f t="shared" ref="D203:D268" si="14">+C203/$C$316</f>
        <v>4.0441825074152967E-3</v>
      </c>
      <c r="E203" s="269"/>
      <c r="F203" s="254">
        <f>VLOOKUP(A203,'OPEB Amounts_Report'!$A$10:$A$324,1,FALSE)</f>
        <v>11035</v>
      </c>
      <c r="G203" s="116"/>
      <c r="H203" s="117"/>
    </row>
    <row r="204" spans="1:8">
      <c r="A204" s="195">
        <v>2320</v>
      </c>
      <c r="B204" s="196" t="s">
        <v>192</v>
      </c>
      <c r="C204" s="199">
        <f t="shared" si="12"/>
        <v>60544</v>
      </c>
      <c r="D204" s="201">
        <f t="shared" si="14"/>
        <v>4.7537419327266527E-4</v>
      </c>
      <c r="E204" s="269"/>
      <c r="F204" s="254">
        <f>VLOOKUP(A204,'OPEB Amounts_Report'!$A$10:$A$324,1,FALSE)</f>
        <v>2320</v>
      </c>
      <c r="G204" s="116"/>
      <c r="H204" s="117"/>
    </row>
    <row r="205" spans="1:8">
      <c r="A205" s="193">
        <v>28084</v>
      </c>
      <c r="B205" s="194" t="s">
        <v>193</v>
      </c>
      <c r="C205" s="198">
        <f t="shared" si="12"/>
        <v>50899</v>
      </c>
      <c r="D205" s="200">
        <f t="shared" si="14"/>
        <v>3.9964440842008112E-4</v>
      </c>
      <c r="E205" s="269"/>
      <c r="F205" s="254">
        <f>VLOOKUP(A205,'OPEB Amounts_Report'!$A$10:$A$324,1,FALSE)</f>
        <v>28084</v>
      </c>
      <c r="G205" s="116"/>
      <c r="H205" s="117"/>
    </row>
    <row r="206" spans="1:8">
      <c r="A206" s="195">
        <v>20125</v>
      </c>
      <c r="B206" s="196" t="s">
        <v>194</v>
      </c>
      <c r="C206" s="199">
        <f t="shared" si="12"/>
        <v>77210</v>
      </c>
      <c r="D206" s="201">
        <f t="shared" si="14"/>
        <v>6.0623086453789779E-4</v>
      </c>
      <c r="E206" s="269"/>
      <c r="F206" s="254">
        <f>VLOOKUP(A206,'OPEB Amounts_Report'!$A$10:$A$324,1,FALSE)</f>
        <v>20125</v>
      </c>
      <c r="G206" s="116"/>
      <c r="H206" s="117"/>
    </row>
    <row r="207" spans="1:8">
      <c r="A207" s="193">
        <v>7445</v>
      </c>
      <c r="B207" s="194" t="s">
        <v>411</v>
      </c>
      <c r="C207" s="198">
        <f t="shared" si="12"/>
        <v>30530</v>
      </c>
      <c r="D207" s="200">
        <f t="shared" si="14"/>
        <v>2.3971283893721047E-4</v>
      </c>
      <c r="E207" s="269"/>
      <c r="F207" s="254">
        <f>VLOOKUP(A207,'OPEB Amounts_Report'!$A$10:$A$324,1,FALSE)</f>
        <v>7445</v>
      </c>
      <c r="G207" s="116"/>
      <c r="H207" s="117"/>
    </row>
    <row r="208" spans="1:8">
      <c r="A208" s="195">
        <v>9029</v>
      </c>
      <c r="B208" s="196" t="s">
        <v>196</v>
      </c>
      <c r="C208" s="199">
        <f t="shared" si="12"/>
        <v>150999</v>
      </c>
      <c r="D208" s="201">
        <f t="shared" si="14"/>
        <v>1.1856010143033032E-3</v>
      </c>
      <c r="E208" s="269"/>
      <c r="F208" s="254">
        <f>VLOOKUP(A208,'OPEB Amounts_Report'!$A$10:$A$324,1,FALSE)</f>
        <v>9029</v>
      </c>
      <c r="G208" s="116"/>
      <c r="H208" s="117"/>
    </row>
    <row r="209" spans="1:8">
      <c r="A209" s="193">
        <v>2580</v>
      </c>
      <c r="B209" s="194" t="s">
        <v>197</v>
      </c>
      <c r="C209" s="198">
        <f t="shared" si="12"/>
        <v>18163</v>
      </c>
      <c r="D209" s="200">
        <f t="shared" si="14"/>
        <v>1.4261068763893068E-4</v>
      </c>
      <c r="E209" s="269"/>
      <c r="F209" s="254">
        <f>VLOOKUP(A209,'OPEB Amounts_Report'!$A$10:$A$324,1,FALSE)</f>
        <v>2580</v>
      </c>
      <c r="G209" s="116"/>
      <c r="H209" s="117"/>
    </row>
    <row r="210" spans="1:8">
      <c r="A210" s="195">
        <v>20312</v>
      </c>
      <c r="B210" s="196" t="s">
        <v>198</v>
      </c>
      <c r="C210" s="199">
        <f t="shared" si="12"/>
        <v>14824</v>
      </c>
      <c r="D210" s="201">
        <f t="shared" si="14"/>
        <v>1.1639381344268614E-4</v>
      </c>
      <c r="E210" s="269"/>
      <c r="F210" s="254">
        <f>VLOOKUP(A210,'OPEB Amounts_Report'!$A$10:$A$324,1,FALSE)</f>
        <v>20312</v>
      </c>
      <c r="G210" s="116"/>
      <c r="H210" s="117"/>
    </row>
    <row r="211" spans="1:8">
      <c r="A211" s="193">
        <v>26150</v>
      </c>
      <c r="B211" s="194" t="s">
        <v>199</v>
      </c>
      <c r="C211" s="198">
        <f t="shared" si="12"/>
        <v>109871</v>
      </c>
      <c r="D211" s="200">
        <f t="shared" si="14"/>
        <v>8.6267570674321162E-4</v>
      </c>
      <c r="E211" s="269"/>
      <c r="F211" s="254">
        <f>VLOOKUP(A211,'OPEB Amounts_Report'!$A$10:$A$324,1,FALSE)</f>
        <v>26150</v>
      </c>
      <c r="G211" s="116"/>
      <c r="H211" s="117"/>
    </row>
    <row r="212" spans="1:8">
      <c r="A212" s="195">
        <v>5016</v>
      </c>
      <c r="B212" s="196" t="s">
        <v>200</v>
      </c>
      <c r="C212" s="199">
        <f t="shared" si="12"/>
        <v>15971</v>
      </c>
      <c r="D212" s="201">
        <f t="shared" si="14"/>
        <v>1.2539972979581357E-4</v>
      </c>
      <c r="E212" s="269"/>
      <c r="F212" s="254">
        <f>VLOOKUP(A212,'OPEB Amounts_Report'!$A$10:$A$324,1,FALSE)</f>
        <v>5016</v>
      </c>
      <c r="G212" s="116"/>
      <c r="H212" s="117"/>
    </row>
    <row r="213" spans="1:8">
      <c r="A213" s="193">
        <v>6150</v>
      </c>
      <c r="B213" s="194" t="s">
        <v>201</v>
      </c>
      <c r="C213" s="198">
        <f t="shared" si="12"/>
        <v>12608</v>
      </c>
      <c r="D213" s="200">
        <f t="shared" si="14"/>
        <v>9.8994414455301331E-5</v>
      </c>
      <c r="E213" s="269"/>
      <c r="F213" s="254">
        <f>VLOOKUP(A213,'OPEB Amounts_Report'!$A$10:$A$324,1,FALSE)</f>
        <v>6150</v>
      </c>
      <c r="G213" s="116"/>
      <c r="H213" s="117"/>
    </row>
    <row r="214" spans="1:8">
      <c r="A214" s="195">
        <v>4480</v>
      </c>
      <c r="B214" s="196" t="s">
        <v>202</v>
      </c>
      <c r="C214" s="199">
        <f t="shared" si="12"/>
        <v>21222</v>
      </c>
      <c r="D214" s="201">
        <f t="shared" si="14"/>
        <v>1.6662908181871866E-4</v>
      </c>
      <c r="E214" s="269"/>
      <c r="F214" s="254">
        <f>VLOOKUP(A214,'OPEB Amounts_Report'!$A$10:$A$324,1,FALSE)</f>
        <v>4480</v>
      </c>
      <c r="G214" s="116"/>
      <c r="H214" s="117"/>
    </row>
    <row r="215" spans="1:8">
      <c r="A215" s="193">
        <v>28085</v>
      </c>
      <c r="B215" s="194" t="s">
        <v>203</v>
      </c>
      <c r="C215" s="198">
        <f t="shared" si="12"/>
        <v>39690</v>
      </c>
      <c r="D215" s="200">
        <f t="shared" si="14"/>
        <v>3.116345423327181E-4</v>
      </c>
      <c r="E215" s="269"/>
      <c r="F215" s="254">
        <f>VLOOKUP(A215,'OPEB Amounts_Report'!$A$10:$A$324,1,FALSE)</f>
        <v>28085</v>
      </c>
      <c r="G215" s="116"/>
      <c r="H215" s="117"/>
    </row>
    <row r="216" spans="1:8">
      <c r="A216" s="195">
        <v>3240</v>
      </c>
      <c r="B216" s="196" t="s">
        <v>204</v>
      </c>
      <c r="C216" s="199">
        <f t="shared" si="12"/>
        <v>230573</v>
      </c>
      <c r="D216" s="201">
        <f t="shared" si="14"/>
        <v>1.81039333155157E-3</v>
      </c>
      <c r="E216" s="269"/>
      <c r="F216" s="254">
        <f>VLOOKUP(A216,'OPEB Amounts_Report'!$A$10:$A$324,1,FALSE)</f>
        <v>3240</v>
      </c>
      <c r="G216" s="116"/>
      <c r="H216" s="117"/>
    </row>
    <row r="217" spans="1:8">
      <c r="A217" s="193">
        <v>12326</v>
      </c>
      <c r="B217" s="194" t="s">
        <v>205</v>
      </c>
      <c r="C217" s="198">
        <f t="shared" si="12"/>
        <v>20726</v>
      </c>
      <c r="D217" s="200">
        <f t="shared" si="14"/>
        <v>1.6273463150385275E-4</v>
      </c>
      <c r="E217" s="269"/>
      <c r="F217" s="254">
        <f>VLOOKUP(A217,'OPEB Amounts_Report'!$A$10:$A$324,1,FALSE)</f>
        <v>12326</v>
      </c>
      <c r="G217" s="116"/>
      <c r="H217" s="117"/>
    </row>
    <row r="218" spans="1:8">
      <c r="A218" s="195">
        <v>2445</v>
      </c>
      <c r="B218" s="196" t="s">
        <v>446</v>
      </c>
      <c r="C218" s="199">
        <f t="shared" si="12"/>
        <v>19287</v>
      </c>
      <c r="D218" s="201">
        <f t="shared" si="14"/>
        <v>1.5143601456213491E-4</v>
      </c>
      <c r="E218" s="269"/>
      <c r="F218" s="254">
        <f>VLOOKUP(A218,'OPEB Amounts_Report'!$A$10:$A$324,1,FALSE)</f>
        <v>2445</v>
      </c>
      <c r="G218" s="116"/>
      <c r="H218" s="117"/>
    </row>
    <row r="219" spans="1:8">
      <c r="A219" s="193">
        <v>29123</v>
      </c>
      <c r="B219" s="194" t="s">
        <v>206</v>
      </c>
      <c r="C219" s="198">
        <f t="shared" si="12"/>
        <v>2904090</v>
      </c>
      <c r="D219" s="200">
        <f t="shared" si="14"/>
        <v>2.2802085110683379E-2</v>
      </c>
      <c r="E219" s="269"/>
      <c r="F219" s="254">
        <f>VLOOKUP(A219,'OPEB Amounts_Report'!$A$10:$A$324,1,FALSE)</f>
        <v>29123</v>
      </c>
      <c r="G219" s="116"/>
      <c r="H219" s="117"/>
    </row>
    <row r="220" spans="1:8">
      <c r="A220" s="195">
        <v>2318</v>
      </c>
      <c r="B220" s="196" t="s">
        <v>207</v>
      </c>
      <c r="C220" s="199">
        <f t="shared" si="12"/>
        <v>61439</v>
      </c>
      <c r="D220" s="201">
        <f t="shared" si="14"/>
        <v>4.8240147761098183E-4</v>
      </c>
      <c r="E220" s="269"/>
      <c r="F220" s="254">
        <f>VLOOKUP(A220,'OPEB Amounts_Report'!$A$10:$A$324,1,FALSE)</f>
        <v>2318</v>
      </c>
      <c r="G220" s="116"/>
      <c r="H220" s="117"/>
    </row>
    <row r="221" spans="1:8">
      <c r="A221" s="193">
        <v>3250</v>
      </c>
      <c r="B221" s="194" t="s">
        <v>208</v>
      </c>
      <c r="C221" s="198">
        <f t="shared" si="12"/>
        <v>80713</v>
      </c>
      <c r="D221" s="200">
        <f t="shared" si="14"/>
        <v>6.3373541988663833E-4</v>
      </c>
      <c r="E221" s="269"/>
      <c r="F221" s="254">
        <f>VLOOKUP(A221,'OPEB Amounts_Report'!$A$10:$A$324,1,FALSE)</f>
        <v>3250</v>
      </c>
      <c r="G221" s="116"/>
      <c r="H221" s="117"/>
    </row>
    <row r="222" spans="1:8">
      <c r="A222" s="195">
        <v>2313</v>
      </c>
      <c r="B222" s="196" t="s">
        <v>209</v>
      </c>
      <c r="C222" s="199">
        <f t="shared" si="12"/>
        <v>11637</v>
      </c>
      <c r="D222" s="201">
        <f t="shared" si="14"/>
        <v>9.1370399826803746E-5</v>
      </c>
      <c r="E222" s="269"/>
      <c r="F222" s="254">
        <f>VLOOKUP(A222,'OPEB Amounts_Report'!$A$10:$A$324,1,FALSE)</f>
        <v>2313</v>
      </c>
      <c r="G222" s="116"/>
      <c r="H222" s="117"/>
    </row>
    <row r="223" spans="1:8">
      <c r="A223" s="193">
        <v>4011</v>
      </c>
      <c r="B223" s="194" t="s">
        <v>210</v>
      </c>
      <c r="C223" s="198">
        <f t="shared" si="12"/>
        <v>1659735</v>
      </c>
      <c r="D223" s="200">
        <f t="shared" si="14"/>
        <v>1.3031765107548348E-2</v>
      </c>
      <c r="E223" s="269"/>
      <c r="F223" s="254">
        <f>VLOOKUP(A223,'OPEB Amounts_Report'!$A$10:$A$324,1,FALSE)</f>
        <v>4011</v>
      </c>
      <c r="G223" s="116"/>
      <c r="H223" s="117"/>
    </row>
    <row r="224" spans="1:8">
      <c r="A224" s="195">
        <v>31092</v>
      </c>
      <c r="B224" s="196" t="s">
        <v>211</v>
      </c>
      <c r="C224" s="199">
        <f t="shared" si="12"/>
        <v>25769</v>
      </c>
      <c r="D224" s="201">
        <f t="shared" si="14"/>
        <v>2.0233082694310437E-4</v>
      </c>
      <c r="E224" s="269"/>
      <c r="F224" s="254">
        <f>VLOOKUP(A224,'OPEB Amounts_Report'!$A$10:$A$324,1,FALSE)</f>
        <v>31092</v>
      </c>
      <c r="G224" s="116"/>
      <c r="H224" s="117"/>
    </row>
    <row r="225" spans="1:8">
      <c r="A225" s="193">
        <v>26081</v>
      </c>
      <c r="B225" s="194" t="s">
        <v>212</v>
      </c>
      <c r="C225" s="198">
        <f t="shared" si="12"/>
        <v>304499</v>
      </c>
      <c r="D225" s="200">
        <f t="shared" si="14"/>
        <v>2.3908391661821701E-3</v>
      </c>
      <c r="E225" s="269"/>
      <c r="F225" s="254">
        <f>VLOOKUP(A225,'OPEB Amounts_Report'!$A$10:$A$324,1,FALSE)</f>
        <v>26081</v>
      </c>
      <c r="G225" s="116"/>
      <c r="H225" s="117"/>
    </row>
    <row r="226" spans="1:8">
      <c r="A226" s="195">
        <v>29305</v>
      </c>
      <c r="B226" s="196" t="s">
        <v>213</v>
      </c>
      <c r="C226" s="199">
        <f t="shared" si="12"/>
        <v>20223</v>
      </c>
      <c r="D226" s="201">
        <f t="shared" si="14"/>
        <v>1.587852191885754E-4</v>
      </c>
      <c r="E226" s="269"/>
      <c r="F226" s="254">
        <f>VLOOKUP(A226,'OPEB Amounts_Report'!$A$10:$A$324,1,FALSE)</f>
        <v>29305</v>
      </c>
      <c r="G226" s="116"/>
      <c r="H226" s="117"/>
    </row>
    <row r="227" spans="1:8">
      <c r="A227" s="193">
        <v>10032</v>
      </c>
      <c r="B227" s="194" t="s">
        <v>214</v>
      </c>
      <c r="C227" s="198">
        <f t="shared" si="12"/>
        <v>37655</v>
      </c>
      <c r="D227" s="200">
        <f t="shared" si="14"/>
        <v>2.9565630364168557E-4</v>
      </c>
      <c r="E227" s="269"/>
      <c r="F227" s="254">
        <f>VLOOKUP(A227,'OPEB Amounts_Report'!$A$10:$A$324,1,FALSE)</f>
        <v>10032</v>
      </c>
      <c r="G227" s="116"/>
      <c r="H227" s="117"/>
    </row>
    <row r="228" spans="1:8">
      <c r="A228" s="195">
        <v>32107</v>
      </c>
      <c r="B228" s="196" t="s">
        <v>215</v>
      </c>
      <c r="C228" s="199">
        <f t="shared" si="12"/>
        <v>47660</v>
      </c>
      <c r="D228" s="201">
        <f t="shared" si="14"/>
        <v>3.7421270565828535E-4</v>
      </c>
      <c r="E228" s="269"/>
      <c r="F228" s="254">
        <f>VLOOKUP(A228,'OPEB Amounts_Report'!$A$10:$A$324,1,FALSE)</f>
        <v>32107</v>
      </c>
      <c r="G228" s="116"/>
      <c r="H228" s="117"/>
    </row>
    <row r="229" spans="1:8">
      <c r="A229" s="193">
        <v>3260</v>
      </c>
      <c r="B229" s="194" t="s">
        <v>216</v>
      </c>
      <c r="C229" s="198">
        <f t="shared" si="12"/>
        <v>667632</v>
      </c>
      <c r="D229" s="200">
        <f t="shared" si="14"/>
        <v>5.2420557512390343E-3</v>
      </c>
      <c r="E229" s="269"/>
      <c r="F229" s="254">
        <f>VLOOKUP(A229,'OPEB Amounts_Report'!$A$10:$A$324,1,FALSE)</f>
        <v>3260</v>
      </c>
      <c r="G229" s="116"/>
      <c r="H229" s="117"/>
    </row>
    <row r="230" spans="1:8">
      <c r="A230" s="195">
        <v>4390</v>
      </c>
      <c r="B230" s="196" t="s">
        <v>217</v>
      </c>
      <c r="C230" s="199">
        <f t="shared" si="12"/>
        <v>7245</v>
      </c>
      <c r="D230" s="201">
        <f t="shared" si="14"/>
        <v>5.6885670425813621E-5</v>
      </c>
      <c r="E230" s="269"/>
      <c r="F230" s="254">
        <f>VLOOKUP(A230,'OPEB Amounts_Report'!$A$10:$A$324,1,FALSE)</f>
        <v>4390</v>
      </c>
      <c r="G230" s="116"/>
      <c r="H230" s="117"/>
    </row>
    <row r="231" spans="1:8">
      <c r="A231" s="193">
        <v>3270</v>
      </c>
      <c r="B231" s="194" t="s">
        <v>218</v>
      </c>
      <c r="C231" s="198">
        <f t="shared" si="12"/>
        <v>101533</v>
      </c>
      <c r="D231" s="200">
        <f t="shared" si="14"/>
        <v>7.9720811253887296E-4</v>
      </c>
      <c r="E231" s="269"/>
      <c r="F231" s="254">
        <f>VLOOKUP(A231,'OPEB Amounts_Report'!$A$10:$A$324,1,FALSE)</f>
        <v>3270</v>
      </c>
      <c r="G231" s="116"/>
      <c r="H231" s="117"/>
    </row>
    <row r="232" spans="1:8">
      <c r="A232" s="195">
        <v>29303</v>
      </c>
      <c r="B232" s="196" t="s">
        <v>219</v>
      </c>
      <c r="C232" s="199">
        <f t="shared" si="12"/>
        <v>36283</v>
      </c>
      <c r="D232" s="201">
        <f t="shared" si="14"/>
        <v>2.8488375156104841E-4</v>
      </c>
      <c r="E232" s="269"/>
      <c r="F232" s="254">
        <f>VLOOKUP(A232,'OPEB Amounts_Report'!$A$10:$A$324,1,FALSE)</f>
        <v>29303</v>
      </c>
      <c r="G232" s="116"/>
      <c r="H232" s="117"/>
    </row>
    <row r="233" spans="1:8">
      <c r="A233" s="193">
        <v>3280</v>
      </c>
      <c r="B233" s="194" t="s">
        <v>423</v>
      </c>
      <c r="C233" s="198">
        <f t="shared" si="12"/>
        <v>511346</v>
      </c>
      <c r="D233" s="200">
        <f t="shared" si="14"/>
        <v>4.0149427231964243E-3</v>
      </c>
      <c r="E233" s="269"/>
      <c r="F233" s="254">
        <f>VLOOKUP(A233,'OPEB Amounts_Report'!$A$10:$A$324,1,FALSE)</f>
        <v>3280</v>
      </c>
      <c r="G233" s="116"/>
      <c r="H233" s="117"/>
    </row>
    <row r="234" spans="1:8">
      <c r="A234" s="195">
        <v>4260</v>
      </c>
      <c r="B234" s="196" t="s">
        <v>221</v>
      </c>
      <c r="C234" s="199">
        <f t="shared" si="12"/>
        <v>39689</v>
      </c>
      <c r="D234" s="201">
        <f t="shared" si="14"/>
        <v>3.1162669061837359E-4</v>
      </c>
      <c r="E234" s="269"/>
      <c r="F234" s="254">
        <f>VLOOKUP(A234,'OPEB Amounts_Report'!$A$10:$A$324,1,FALSE)</f>
        <v>4260</v>
      </c>
      <c r="G234" s="116"/>
      <c r="H234" s="117"/>
    </row>
    <row r="235" spans="1:8">
      <c r="A235" s="193">
        <v>1003</v>
      </c>
      <c r="B235" s="194" t="s">
        <v>222</v>
      </c>
      <c r="C235" s="198">
        <f t="shared" si="12"/>
        <v>568222</v>
      </c>
      <c r="D235" s="200">
        <f t="shared" si="14"/>
        <v>4.4615168282535088E-3</v>
      </c>
      <c r="E235" s="269"/>
      <c r="F235" s="254">
        <f>VLOOKUP(A235,'OPEB Amounts_Report'!$A$10:$A$324,1,FALSE)</f>
        <v>1003</v>
      </c>
      <c r="G235" s="116"/>
      <c r="H235" s="117"/>
    </row>
    <row r="236" spans="1:8">
      <c r="A236" s="195">
        <v>3290</v>
      </c>
      <c r="B236" s="196" t="s">
        <v>223</v>
      </c>
      <c r="C236" s="199">
        <f t="shared" si="12"/>
        <v>1157478</v>
      </c>
      <c r="D236" s="201">
        <f t="shared" si="14"/>
        <v>9.0881866160289725E-3</v>
      </c>
      <c r="E236" s="269"/>
      <c r="F236" s="254">
        <f>VLOOKUP(A236,'OPEB Amounts_Report'!$A$10:$A$324,1,FALSE)</f>
        <v>3290</v>
      </c>
      <c r="G236" s="116"/>
      <c r="H236" s="117"/>
    </row>
    <row r="237" spans="1:8">
      <c r="A237" s="193">
        <v>1002</v>
      </c>
      <c r="B237" s="194" t="s">
        <v>224</v>
      </c>
      <c r="C237" s="198">
        <f t="shared" si="12"/>
        <v>2056822</v>
      </c>
      <c r="D237" s="200">
        <f t="shared" si="14"/>
        <v>1.6149578801457946E-2</v>
      </c>
      <c r="E237" s="269"/>
      <c r="F237" s="254">
        <f>VLOOKUP(A237,'OPEB Amounts_Report'!$A$10:$A$324,1,FALSE)</f>
        <v>1002</v>
      </c>
      <c r="G237" s="116"/>
      <c r="H237" s="117"/>
    </row>
    <row r="238" spans="1:8">
      <c r="A238" s="195">
        <v>4270</v>
      </c>
      <c r="B238" s="196" t="s">
        <v>424</v>
      </c>
      <c r="C238" s="199">
        <f t="shared" si="12"/>
        <v>43128</v>
      </c>
      <c r="D238" s="201">
        <f t="shared" si="14"/>
        <v>3.3862873624906692E-4</v>
      </c>
      <c r="E238" s="269"/>
      <c r="F238" s="254">
        <f>VLOOKUP(A238,'OPEB Amounts_Report'!$A$10:$A$324,1,FALSE)</f>
        <v>4270</v>
      </c>
      <c r="G238" s="116"/>
      <c r="H238" s="117"/>
    </row>
    <row r="239" spans="1:8" s="132" customFormat="1">
      <c r="A239" s="193">
        <v>24072</v>
      </c>
      <c r="B239" s="194" t="s">
        <v>225</v>
      </c>
      <c r="C239" s="198">
        <f t="shared" si="12"/>
        <v>154371</v>
      </c>
      <c r="D239" s="200">
        <f t="shared" si="14"/>
        <v>1.2120769950729159E-3</v>
      </c>
      <c r="E239" s="269"/>
      <c r="F239" s="254">
        <f>VLOOKUP(A239,'OPEB Amounts_Report'!$A$10:$A$324,1,FALSE)</f>
        <v>24072</v>
      </c>
      <c r="G239" s="116"/>
      <c r="H239" s="117"/>
    </row>
    <row r="240" spans="1:8">
      <c r="A240" s="195">
        <v>14366</v>
      </c>
      <c r="B240" s="196" t="s">
        <v>226</v>
      </c>
      <c r="C240" s="199">
        <f t="shared" si="12"/>
        <v>97418</v>
      </c>
      <c r="D240" s="201">
        <f t="shared" si="14"/>
        <v>7.6489830801130588E-4</v>
      </c>
      <c r="E240" s="269"/>
      <c r="F240" s="254">
        <f>VLOOKUP(A240,'OPEB Amounts_Report'!$A$10:$A$324,1,FALSE)</f>
        <v>14366</v>
      </c>
      <c r="G240" s="116"/>
      <c r="H240" s="117"/>
    </row>
    <row r="241" spans="1:8">
      <c r="A241" s="193">
        <v>4317</v>
      </c>
      <c r="B241" s="194" t="s">
        <v>227</v>
      </c>
      <c r="C241" s="198">
        <f t="shared" si="12"/>
        <v>27129</v>
      </c>
      <c r="D241" s="200">
        <f t="shared" si="14"/>
        <v>2.1300915845160769E-4</v>
      </c>
      <c r="E241" s="269"/>
      <c r="F241" s="254">
        <f>VLOOKUP(A241,'OPEB Amounts_Report'!$A$10:$A$324,1,FALSE)</f>
        <v>4317</v>
      </c>
      <c r="G241" s="116"/>
      <c r="H241" s="117"/>
    </row>
    <row r="242" spans="1:8">
      <c r="A242" s="195">
        <v>32120</v>
      </c>
      <c r="B242" s="196" t="s">
        <v>228</v>
      </c>
      <c r="C242" s="199">
        <f t="shared" si="12"/>
        <v>53943</v>
      </c>
      <c r="D242" s="201">
        <f t="shared" si="14"/>
        <v>4.2354502688470177E-4</v>
      </c>
      <c r="E242" s="269"/>
      <c r="F242" s="254">
        <f>VLOOKUP(A242,'OPEB Amounts_Report'!$A$10:$A$324,1,FALSE)</f>
        <v>32120</v>
      </c>
      <c r="G242" s="116"/>
      <c r="H242" s="117"/>
    </row>
    <row r="243" spans="1:8">
      <c r="A243" s="193">
        <v>3300</v>
      </c>
      <c r="B243" s="194" t="s">
        <v>425</v>
      </c>
      <c r="C243" s="198">
        <f t="shared" si="12"/>
        <v>78044</v>
      </c>
      <c r="D243" s="200">
        <f t="shared" si="14"/>
        <v>6.127791943012006E-4</v>
      </c>
      <c r="E243" s="269"/>
      <c r="F243" s="254">
        <f>VLOOKUP(A243,'OPEB Amounts_Report'!$A$10:$A$324,1,FALSE)</f>
        <v>3300</v>
      </c>
      <c r="G243" s="116"/>
      <c r="H243" s="117"/>
    </row>
    <row r="244" spans="1:8">
      <c r="A244" s="195">
        <v>8026</v>
      </c>
      <c r="B244" s="196" t="s">
        <v>230</v>
      </c>
      <c r="C244" s="199">
        <f t="shared" si="12"/>
        <v>417745</v>
      </c>
      <c r="D244" s="201">
        <f t="shared" si="14"/>
        <v>3.280014408838028E-3</v>
      </c>
      <c r="E244" s="269"/>
      <c r="F244" s="254">
        <f>VLOOKUP(A244,'OPEB Amounts_Report'!$A$10:$A$324,1,FALSE)</f>
        <v>8026</v>
      </c>
      <c r="G244" s="116"/>
      <c r="H244" s="117"/>
    </row>
    <row r="245" spans="1:8">
      <c r="A245" s="193">
        <v>32119</v>
      </c>
      <c r="B245" s="194" t="s">
        <v>231</v>
      </c>
      <c r="C245" s="198">
        <f t="shared" si="12"/>
        <v>12609</v>
      </c>
      <c r="D245" s="200">
        <f t="shared" si="14"/>
        <v>9.9002266169645825E-5</v>
      </c>
      <c r="E245" s="269"/>
      <c r="F245" s="254">
        <f>VLOOKUP(A245,'OPEB Amounts_Report'!$A$10:$A$324,1,FALSE)</f>
        <v>32119</v>
      </c>
      <c r="G245" s="116"/>
      <c r="H245" s="117"/>
    </row>
    <row r="246" spans="1:8">
      <c r="A246" s="195">
        <v>25076</v>
      </c>
      <c r="B246" s="196" t="s">
        <v>232</v>
      </c>
      <c r="C246" s="199">
        <f t="shared" si="12"/>
        <v>263089</v>
      </c>
      <c r="D246" s="201">
        <f t="shared" si="14"/>
        <v>2.0656996751769333E-3</v>
      </c>
      <c r="E246" s="269"/>
      <c r="F246" s="254">
        <f>VLOOKUP(A246,'OPEB Amounts_Report'!$A$10:$A$324,1,FALSE)</f>
        <v>25076</v>
      </c>
      <c r="G246" s="116"/>
      <c r="H246" s="117"/>
    </row>
    <row r="247" spans="1:8">
      <c r="A247" s="193">
        <v>2440</v>
      </c>
      <c r="B247" s="194" t="s">
        <v>401</v>
      </c>
      <c r="C247" s="198">
        <f t="shared" si="12"/>
        <v>61282</v>
      </c>
      <c r="D247" s="200">
        <f t="shared" si="14"/>
        <v>4.8116875845889722E-4</v>
      </c>
      <c r="E247" s="269"/>
      <c r="F247" s="254">
        <f>VLOOKUP(A247,'OPEB Amounts_Report'!$A$10:$A$324,1,FALSE)</f>
        <v>2440</v>
      </c>
      <c r="G247" s="116"/>
      <c r="H247" s="117"/>
    </row>
    <row r="248" spans="1:8">
      <c r="A248" s="195">
        <v>2309</v>
      </c>
      <c r="B248" s="223" t="s">
        <v>233</v>
      </c>
      <c r="C248" s="265">
        <f t="shared" si="12"/>
        <v>116399</v>
      </c>
      <c r="D248" s="224">
        <f t="shared" si="14"/>
        <v>9.1393169798402755E-4</v>
      </c>
      <c r="E248" s="269"/>
      <c r="F248" s="254">
        <f>VLOOKUP(A248,'OPEB Amounts_Report'!$A$10:$A$324,1,FALSE)</f>
        <v>2309</v>
      </c>
      <c r="G248" s="116"/>
      <c r="H248" s="117"/>
    </row>
    <row r="249" spans="1:8">
      <c r="A249" s="193">
        <v>2396</v>
      </c>
      <c r="B249" s="194" t="s">
        <v>234</v>
      </c>
      <c r="C249" s="198">
        <f t="shared" si="12"/>
        <v>29539</v>
      </c>
      <c r="D249" s="200">
        <f t="shared" si="14"/>
        <v>2.3193179002182313E-4</v>
      </c>
      <c r="E249" s="269"/>
      <c r="F249" s="254">
        <f>VLOOKUP(A249,'OPEB Amounts_Report'!$A$10:$A$324,1,FALSE)</f>
        <v>2396</v>
      </c>
      <c r="G249" s="116"/>
      <c r="H249" s="117"/>
    </row>
    <row r="250" spans="1:8" s="191" customFormat="1">
      <c r="A250" s="195" t="s">
        <v>606</v>
      </c>
      <c r="B250" s="196" t="s">
        <v>484</v>
      </c>
      <c r="C250" s="199">
        <f t="shared" si="12"/>
        <v>213021</v>
      </c>
      <c r="D250" s="201">
        <f t="shared" si="14"/>
        <v>1.6725800413771212E-3</v>
      </c>
      <c r="E250" s="269" t="s">
        <v>487</v>
      </c>
      <c r="F250" s="254" t="str">
        <f>VLOOKUP(A250,'OPEB Amounts_Report'!$A$10:$A$324,1,FALSE)</f>
        <v>3010E</v>
      </c>
      <c r="G250" s="116"/>
      <c r="H250" s="117"/>
    </row>
    <row r="251" spans="1:8">
      <c r="A251" s="193">
        <v>3380</v>
      </c>
      <c r="B251" s="194" t="s">
        <v>235</v>
      </c>
      <c r="C251" s="198">
        <f t="shared" si="12"/>
        <v>19882</v>
      </c>
      <c r="D251" s="200">
        <f t="shared" si="14"/>
        <v>1.5610778459710509E-4</v>
      </c>
      <c r="E251" s="269"/>
      <c r="F251" s="254">
        <f>VLOOKUP(A251,'OPEB Amounts_Report'!$A$10:$A$324,1,FALSE)</f>
        <v>3380</v>
      </c>
      <c r="G251" s="116"/>
      <c r="H251" s="117"/>
    </row>
    <row r="252" spans="1:8">
      <c r="A252" s="195">
        <v>2420</v>
      </c>
      <c r="B252" s="196" t="s">
        <v>236</v>
      </c>
      <c r="C252" s="199">
        <f t="shared" si="12"/>
        <v>33831</v>
      </c>
      <c r="D252" s="201">
        <f t="shared" si="14"/>
        <v>2.6563134798836447E-4</v>
      </c>
      <c r="E252" s="269"/>
      <c r="F252" s="254">
        <f>VLOOKUP(A252,'OPEB Amounts_Report'!$A$10:$A$324,1,FALSE)</f>
        <v>2420</v>
      </c>
      <c r="G252" s="116"/>
      <c r="H252" s="117"/>
    </row>
    <row r="253" spans="1:8">
      <c r="A253" s="193">
        <v>2740</v>
      </c>
      <c r="B253" s="194" t="s">
        <v>237</v>
      </c>
      <c r="C253" s="198">
        <f t="shared" si="12"/>
        <v>3503</v>
      </c>
      <c r="D253" s="200">
        <f t="shared" si="14"/>
        <v>2.7504555348740528E-5</v>
      </c>
      <c r="E253" s="269"/>
      <c r="F253" s="254">
        <f>VLOOKUP(A253,'OPEB Amounts_Report'!$A$10:$A$324,1,FALSE)</f>
        <v>2740</v>
      </c>
      <c r="G253" s="116"/>
      <c r="H253" s="117"/>
    </row>
    <row r="254" spans="1:8">
      <c r="A254" s="195">
        <v>2346</v>
      </c>
      <c r="B254" s="196" t="s">
        <v>238</v>
      </c>
      <c r="C254" s="199">
        <f t="shared" si="12"/>
        <v>21915</v>
      </c>
      <c r="D254" s="201">
        <f t="shared" si="14"/>
        <v>1.7207031985944866E-4</v>
      </c>
      <c r="E254" s="269"/>
      <c r="F254" s="254">
        <f>VLOOKUP(A254,'OPEB Amounts_Report'!$A$10:$A$324,1,FALSE)</f>
        <v>2346</v>
      </c>
      <c r="G254" s="116"/>
      <c r="H254" s="117"/>
    </row>
    <row r="255" spans="1:8">
      <c r="A255" s="193">
        <v>21150</v>
      </c>
      <c r="B255" s="194" t="s">
        <v>239</v>
      </c>
      <c r="C255" s="198">
        <f t="shared" si="12"/>
        <v>98389</v>
      </c>
      <c r="D255" s="200">
        <f t="shared" si="14"/>
        <v>7.7252232263980353E-4</v>
      </c>
      <c r="E255" s="269"/>
      <c r="F255" s="254">
        <f>VLOOKUP(A255,'OPEB Amounts_Report'!$A$10:$A$324,1,FALSE)</f>
        <v>21150</v>
      </c>
      <c r="G255" s="116"/>
      <c r="H255" s="117"/>
    </row>
    <row r="256" spans="1:8">
      <c r="A256" s="195">
        <v>32098</v>
      </c>
      <c r="B256" s="196" t="s">
        <v>240</v>
      </c>
      <c r="C256" s="199">
        <f t="shared" si="12"/>
        <v>22314</v>
      </c>
      <c r="D256" s="201">
        <f t="shared" si="14"/>
        <v>1.7520315388289926E-4</v>
      </c>
      <c r="E256" s="269"/>
      <c r="F256" s="254">
        <f>VLOOKUP(A256,'OPEB Amounts_Report'!$A$10:$A$324,1,FALSE)</f>
        <v>32098</v>
      </c>
      <c r="G256" s="116"/>
      <c r="H256" s="117"/>
    </row>
    <row r="257" spans="1:8">
      <c r="A257" s="193">
        <v>4520</v>
      </c>
      <c r="B257" s="194" t="s">
        <v>241</v>
      </c>
      <c r="C257" s="198">
        <f t="shared" si="12"/>
        <v>3494</v>
      </c>
      <c r="D257" s="200">
        <f t="shared" si="14"/>
        <v>2.7433889919640139E-5</v>
      </c>
      <c r="E257" s="269"/>
      <c r="F257" s="254">
        <f>VLOOKUP(A257,'OPEB Amounts_Report'!$A$10:$A$324,1,FALSE)</f>
        <v>4520</v>
      </c>
      <c r="G257" s="116"/>
      <c r="H257" s="117"/>
    </row>
    <row r="258" spans="1:8">
      <c r="A258" s="195">
        <v>9030</v>
      </c>
      <c r="B258" s="196" t="s">
        <v>242</v>
      </c>
      <c r="C258" s="199">
        <f t="shared" si="12"/>
        <v>33753</v>
      </c>
      <c r="D258" s="201">
        <f t="shared" si="14"/>
        <v>2.6501891426949442E-4</v>
      </c>
      <c r="E258" s="269"/>
      <c r="F258" s="254">
        <f>VLOOKUP(A258,'OPEB Amounts_Report'!$A$10:$A$324,1,FALSE)</f>
        <v>9030</v>
      </c>
      <c r="G258" s="116"/>
      <c r="H258" s="117"/>
    </row>
    <row r="259" spans="1:8">
      <c r="A259" s="298">
        <v>20265</v>
      </c>
      <c r="B259" s="299" t="s">
        <v>243</v>
      </c>
      <c r="C259" s="300">
        <f t="shared" si="12"/>
        <v>48612</v>
      </c>
      <c r="D259" s="301">
        <f t="shared" si="14"/>
        <v>3.8168753771423763E-4</v>
      </c>
      <c r="E259" s="269"/>
      <c r="F259" s="254">
        <f>VLOOKUP(A259,'OPEB Amounts_Report'!$A$10:$A$324,1,FALSE)</f>
        <v>20265</v>
      </c>
      <c r="G259" s="116"/>
      <c r="H259" s="117"/>
    </row>
    <row r="260" spans="1:8">
      <c r="A260" s="193">
        <v>20307</v>
      </c>
      <c r="B260" s="194" t="s">
        <v>244</v>
      </c>
      <c r="C260" s="198">
        <f t="shared" si="12"/>
        <v>40863</v>
      </c>
      <c r="D260" s="200">
        <f t="shared" si="14"/>
        <v>3.2084460325880221E-4</v>
      </c>
      <c r="E260" s="269"/>
      <c r="F260" s="254">
        <f>VLOOKUP(A260,'OPEB Amounts_Report'!$A$10:$A$324,1,FALSE)</f>
        <v>20307</v>
      </c>
      <c r="G260" s="116"/>
      <c r="H260" s="117"/>
    </row>
    <row r="261" spans="1:8">
      <c r="A261" s="195">
        <v>3320</v>
      </c>
      <c r="B261" s="196" t="s">
        <v>245</v>
      </c>
      <c r="C261" s="199">
        <f t="shared" si="12"/>
        <v>253119</v>
      </c>
      <c r="D261" s="201">
        <f t="shared" si="14"/>
        <v>1.9874180831623905E-3</v>
      </c>
      <c r="E261" s="269"/>
      <c r="F261" s="254">
        <f>VLOOKUP(A261,'OPEB Amounts_Report'!$A$10:$A$324,1,FALSE)</f>
        <v>3320</v>
      </c>
      <c r="G261" s="116"/>
      <c r="H261" s="117"/>
    </row>
    <row r="262" spans="1:8">
      <c r="A262" s="193">
        <v>20415</v>
      </c>
      <c r="B262" s="194" t="s">
        <v>246</v>
      </c>
      <c r="C262" s="198">
        <f t="shared" si="12"/>
        <v>30023</v>
      </c>
      <c r="D262" s="200">
        <f t="shared" si="14"/>
        <v>2.357320197645552E-4</v>
      </c>
      <c r="E262" s="269"/>
      <c r="F262" s="254">
        <f>VLOOKUP(A262,'OPEB Amounts_Report'!$A$10:$A$324,1,FALSE)</f>
        <v>20415</v>
      </c>
      <c r="G262" s="116"/>
      <c r="H262" s="117"/>
    </row>
    <row r="263" spans="1:8">
      <c r="A263" s="195">
        <v>20435</v>
      </c>
      <c r="B263" s="196" t="s">
        <v>418</v>
      </c>
      <c r="C263" s="199">
        <f t="shared" si="12"/>
        <v>33726</v>
      </c>
      <c r="D263" s="201">
        <f t="shared" si="14"/>
        <v>2.6480691798219327E-4</v>
      </c>
      <c r="E263" s="269"/>
      <c r="F263" s="254">
        <f>VLOOKUP(A263,'OPEB Amounts_Report'!$A$10:$A$324,1,FALSE)</f>
        <v>20435</v>
      </c>
      <c r="G263" s="116"/>
      <c r="H263" s="117"/>
    </row>
    <row r="264" spans="1:8">
      <c r="A264" s="193">
        <v>20062</v>
      </c>
      <c r="B264" s="194" t="s">
        <v>247</v>
      </c>
      <c r="C264" s="198">
        <f t="shared" si="12"/>
        <v>334389</v>
      </c>
      <c r="D264" s="200">
        <f t="shared" si="14"/>
        <v>2.6255269079389085E-3</v>
      </c>
      <c r="E264" s="269"/>
      <c r="F264" s="254">
        <f>VLOOKUP(A264,'OPEB Amounts_Report'!$A$10:$A$324,1,FALSE)</f>
        <v>20062</v>
      </c>
      <c r="G264" s="116"/>
      <c r="H264" s="117"/>
    </row>
    <row r="265" spans="1:8" s="191" customFormat="1">
      <c r="A265" s="195">
        <v>3410</v>
      </c>
      <c r="B265" s="196" t="s">
        <v>486</v>
      </c>
      <c r="C265" s="199">
        <f t="shared" si="12"/>
        <v>4420</v>
      </c>
      <c r="D265" s="201">
        <f t="shared" si="14"/>
        <v>3.470457740263578E-5</v>
      </c>
      <c r="E265" s="269"/>
      <c r="F265" s="254">
        <f>VLOOKUP(A265,'OPEB Amounts_Report'!$A$10:$A$324,1,FALSE)</f>
        <v>3410</v>
      </c>
      <c r="G265" s="116"/>
      <c r="H265" s="117"/>
    </row>
    <row r="266" spans="1:8">
      <c r="A266" s="193">
        <v>6020</v>
      </c>
      <c r="B266" s="194" t="s">
        <v>248</v>
      </c>
      <c r="C266" s="198">
        <f t="shared" si="12"/>
        <v>70791</v>
      </c>
      <c r="D266" s="200">
        <f t="shared" si="14"/>
        <v>5.5583071016063103E-4</v>
      </c>
      <c r="E266" s="269"/>
      <c r="F266" s="254">
        <f>VLOOKUP(A266,'OPEB Amounts_Report'!$A$10:$A$324,1,FALSE)</f>
        <v>6020</v>
      </c>
      <c r="G266" s="116"/>
      <c r="H266" s="117"/>
    </row>
    <row r="267" spans="1:8">
      <c r="A267" s="195">
        <v>2394</v>
      </c>
      <c r="B267" s="196" t="s">
        <v>249</v>
      </c>
      <c r="C267" s="199">
        <f t="shared" ref="C267:C311" si="15">+VLOOKUP(A267,$D$321:$F$629,3,FALSE)</f>
        <v>44179</v>
      </c>
      <c r="D267" s="201">
        <f t="shared" si="14"/>
        <v>3.4688088802512353E-4</v>
      </c>
      <c r="E267" s="269"/>
      <c r="F267" s="254">
        <f>VLOOKUP(A267,'OPEB Amounts_Report'!$A$10:$A$324,1,FALSE)</f>
        <v>2394</v>
      </c>
      <c r="G267" s="116"/>
      <c r="H267" s="117"/>
    </row>
    <row r="268" spans="1:8">
      <c r="A268" s="193">
        <v>5015</v>
      </c>
      <c r="B268" s="194" t="s">
        <v>250</v>
      </c>
      <c r="C268" s="198">
        <f t="shared" si="15"/>
        <v>97457</v>
      </c>
      <c r="D268" s="200">
        <f t="shared" si="14"/>
        <v>7.6520452487074096E-4</v>
      </c>
      <c r="E268" s="269"/>
      <c r="F268" s="254">
        <f>VLOOKUP(A268,'OPEB Amounts_Report'!$A$10:$A$324,1,FALSE)</f>
        <v>5015</v>
      </c>
      <c r="G268" s="116"/>
      <c r="H268" s="117"/>
    </row>
    <row r="269" spans="1:8">
      <c r="A269" s="195">
        <v>29408</v>
      </c>
      <c r="B269" s="223" t="s">
        <v>251</v>
      </c>
      <c r="C269" s="265">
        <f t="shared" si="15"/>
        <v>72559</v>
      </c>
      <c r="D269" s="224">
        <f t="shared" ref="D269:D314" si="16">+C269/$C$316</f>
        <v>5.6971254112168543E-4</v>
      </c>
      <c r="E269" s="269"/>
      <c r="F269" s="254">
        <f>VLOOKUP(A269,'OPEB Amounts_Report'!$A$10:$A$324,1,FALSE)</f>
        <v>29408</v>
      </c>
      <c r="G269" s="116"/>
      <c r="H269" s="117"/>
    </row>
    <row r="270" spans="1:8">
      <c r="A270" s="193">
        <v>2413</v>
      </c>
      <c r="B270" s="194" t="s">
        <v>252</v>
      </c>
      <c r="C270" s="198">
        <f t="shared" si="15"/>
        <v>12874</v>
      </c>
      <c r="D270" s="200">
        <f t="shared" si="16"/>
        <v>1.0108297047093506E-4</v>
      </c>
      <c r="E270" s="269"/>
      <c r="F270" s="254">
        <f>VLOOKUP(A270,'OPEB Amounts_Report'!$A$10:$A$324,1,FALSE)</f>
        <v>2413</v>
      </c>
      <c r="G270" s="116"/>
      <c r="H270" s="117"/>
    </row>
    <row r="271" spans="1:8">
      <c r="A271" s="195">
        <v>1398</v>
      </c>
      <c r="B271" s="196" t="s">
        <v>253</v>
      </c>
      <c r="C271" s="199">
        <f t="shared" si="15"/>
        <v>43820</v>
      </c>
      <c r="D271" s="201">
        <f t="shared" si="16"/>
        <v>3.4406212257545246E-4</v>
      </c>
      <c r="E271" s="269"/>
      <c r="F271" s="254">
        <f>VLOOKUP(A271,'OPEB Amounts_Report'!$A$10:$A$324,1,FALSE)</f>
        <v>1398</v>
      </c>
      <c r="G271" s="116"/>
      <c r="H271" s="117"/>
    </row>
    <row r="272" spans="1:8">
      <c r="A272" s="193">
        <v>2366</v>
      </c>
      <c r="B272" s="194" t="s">
        <v>254</v>
      </c>
      <c r="C272" s="198">
        <f t="shared" si="15"/>
        <v>27096</v>
      </c>
      <c r="D272" s="200">
        <f t="shared" si="16"/>
        <v>2.127500518782396E-4</v>
      </c>
      <c r="E272" s="269"/>
      <c r="F272" s="254">
        <f>VLOOKUP(A272,'OPEB Amounts_Report'!$A$10:$A$324,1,FALSE)</f>
        <v>2366</v>
      </c>
      <c r="G272" s="116"/>
      <c r="H272" s="117"/>
    </row>
    <row r="273" spans="1:8">
      <c r="A273" s="195">
        <v>7421</v>
      </c>
      <c r="B273" s="196" t="s">
        <v>255</v>
      </c>
      <c r="C273" s="199">
        <f t="shared" si="15"/>
        <v>24525</v>
      </c>
      <c r="D273" s="201">
        <f t="shared" si="16"/>
        <v>1.9256329429856166E-4</v>
      </c>
      <c r="E273" s="269"/>
      <c r="F273" s="254">
        <f>VLOOKUP(A273,'OPEB Amounts_Report'!$A$10:$A$324,1,FALSE)</f>
        <v>7421</v>
      </c>
      <c r="G273" s="116"/>
      <c r="H273" s="117"/>
    </row>
    <row r="274" spans="1:8">
      <c r="A274" s="193">
        <v>1425</v>
      </c>
      <c r="B274" s="194" t="s">
        <v>445</v>
      </c>
      <c r="C274" s="198">
        <f t="shared" si="15"/>
        <v>40929</v>
      </c>
      <c r="D274" s="200">
        <f t="shared" si="16"/>
        <v>3.2136281640553839E-4</v>
      </c>
      <c r="E274" s="269"/>
      <c r="F274" s="254">
        <f>VLOOKUP(A274,'OPEB Amounts_Report'!$A$10:$A$324,1,FALSE)</f>
        <v>1425</v>
      </c>
      <c r="G274" s="116"/>
      <c r="H274" s="117"/>
    </row>
    <row r="275" spans="1:8">
      <c r="A275" s="195">
        <v>2370</v>
      </c>
      <c r="B275" s="223" t="s">
        <v>256</v>
      </c>
      <c r="C275" s="265">
        <f t="shared" si="15"/>
        <v>38137</v>
      </c>
      <c r="D275" s="224">
        <f t="shared" si="16"/>
        <v>2.9944082995572865E-4</v>
      </c>
      <c r="E275" s="269"/>
      <c r="F275" s="254">
        <f>VLOOKUP(A275,'OPEB Amounts_Report'!$A$10:$A$324,1,FALSE)</f>
        <v>2370</v>
      </c>
      <c r="G275" s="116"/>
      <c r="H275" s="117"/>
    </row>
    <row r="276" spans="1:8">
      <c r="A276" s="193">
        <v>32094</v>
      </c>
      <c r="B276" s="194" t="s">
        <v>257</v>
      </c>
      <c r="C276" s="198">
        <f t="shared" si="15"/>
        <v>50389</v>
      </c>
      <c r="D276" s="200">
        <f t="shared" si="16"/>
        <v>3.9564003410439238E-4</v>
      </c>
      <c r="E276" s="269"/>
      <c r="F276" s="254">
        <f>VLOOKUP(A276,'OPEB Amounts_Report'!$A$10:$A$324,1,FALSE)</f>
        <v>32094</v>
      </c>
      <c r="G276" s="116"/>
      <c r="H276" s="117"/>
    </row>
    <row r="277" spans="1:8">
      <c r="A277" s="195">
        <v>2790</v>
      </c>
      <c r="B277" s="196" t="s">
        <v>258</v>
      </c>
      <c r="C277" s="199">
        <f t="shared" si="15"/>
        <v>4858</v>
      </c>
      <c r="D277" s="201">
        <f t="shared" si="16"/>
        <v>3.8143628285521405E-5</v>
      </c>
      <c r="E277" s="269"/>
      <c r="F277" s="254">
        <f>VLOOKUP(A277,'OPEB Amounts_Report'!$A$10:$A$324,1,FALSE)</f>
        <v>2790</v>
      </c>
      <c r="G277" s="116"/>
      <c r="H277" s="117"/>
    </row>
    <row r="278" spans="1:8">
      <c r="A278" s="193">
        <v>3330</v>
      </c>
      <c r="B278" s="194" t="s">
        <v>259</v>
      </c>
      <c r="C278" s="198">
        <f t="shared" si="15"/>
        <v>108747</v>
      </c>
      <c r="D278" s="200">
        <f t="shared" si="16"/>
        <v>8.5385037982000744E-4</v>
      </c>
      <c r="E278" s="269"/>
      <c r="F278" s="254">
        <f>VLOOKUP(A278,'OPEB Amounts_Report'!$A$10:$A$324,1,FALSE)</f>
        <v>3330</v>
      </c>
      <c r="G278" s="116"/>
      <c r="H278" s="117"/>
    </row>
    <row r="279" spans="1:8">
      <c r="A279" s="195">
        <v>2080</v>
      </c>
      <c r="B279" s="196" t="s">
        <v>260</v>
      </c>
      <c r="C279" s="199">
        <f t="shared" si="15"/>
        <v>131594</v>
      </c>
      <c r="D279" s="201">
        <f t="shared" si="16"/>
        <v>1.0332384974485187E-3</v>
      </c>
      <c r="E279" s="269"/>
      <c r="F279" s="254">
        <f>VLOOKUP(A279,'OPEB Amounts_Report'!$A$10:$A$324,1,FALSE)</f>
        <v>2080</v>
      </c>
      <c r="G279" s="116"/>
      <c r="H279" s="117"/>
    </row>
    <row r="280" spans="1:8">
      <c r="A280" s="193">
        <v>4290</v>
      </c>
      <c r="B280" s="194" t="s">
        <v>261</v>
      </c>
      <c r="C280" s="198">
        <f t="shared" si="15"/>
        <v>54028</v>
      </c>
      <c r="D280" s="200">
        <f t="shared" si="16"/>
        <v>4.242124226039832E-4</v>
      </c>
      <c r="E280" s="269"/>
      <c r="F280" s="254">
        <f>VLOOKUP(A280,'OPEB Amounts_Report'!$A$10:$A$324,1,FALSE)</f>
        <v>4290</v>
      </c>
      <c r="G280" s="116"/>
      <c r="H280" s="117"/>
    </row>
    <row r="281" spans="1:8">
      <c r="A281" s="195">
        <v>2270</v>
      </c>
      <c r="B281" s="196" t="s">
        <v>262</v>
      </c>
      <c r="C281" s="199">
        <f t="shared" si="15"/>
        <v>1858</v>
      </c>
      <c r="D281" s="201">
        <f t="shared" si="16"/>
        <v>1.4588485252058208E-5</v>
      </c>
      <c r="E281" s="269"/>
      <c r="F281" s="254">
        <f>VLOOKUP(A281,'OPEB Amounts_Report'!$A$10:$A$324,1,FALSE)</f>
        <v>2270</v>
      </c>
      <c r="G281" s="116"/>
      <c r="H281" s="117"/>
    </row>
    <row r="282" spans="1:8">
      <c r="A282" s="193">
        <v>2300</v>
      </c>
      <c r="B282" s="194" t="s">
        <v>263</v>
      </c>
      <c r="C282" s="198">
        <f t="shared" si="15"/>
        <v>20760</v>
      </c>
      <c r="D282" s="200">
        <f t="shared" si="16"/>
        <v>1.6300158979156532E-4</v>
      </c>
      <c r="E282" s="269"/>
      <c r="F282" s="254">
        <f>VLOOKUP(A282,'OPEB Amounts_Report'!$A$10:$A$324,1,FALSE)</f>
        <v>2300</v>
      </c>
      <c r="G282" s="116"/>
      <c r="H282" s="117"/>
    </row>
    <row r="283" spans="1:8">
      <c r="A283" s="195">
        <v>2720</v>
      </c>
      <c r="B283" s="196" t="s">
        <v>264</v>
      </c>
      <c r="C283" s="199">
        <f t="shared" si="15"/>
        <v>164041</v>
      </c>
      <c r="D283" s="201">
        <f t="shared" si="16"/>
        <v>1.2880030727841121E-3</v>
      </c>
      <c r="E283" s="269"/>
      <c r="F283" s="254">
        <f>VLOOKUP(A283,'OPEB Amounts_Report'!$A$10:$A$324,1,FALSE)</f>
        <v>2720</v>
      </c>
      <c r="G283" s="116"/>
      <c r="H283" s="117"/>
    </row>
    <row r="284" spans="1:8">
      <c r="A284" s="193">
        <v>2750</v>
      </c>
      <c r="B284" s="194" t="s">
        <v>265</v>
      </c>
      <c r="C284" s="198">
        <f t="shared" si="15"/>
        <v>9990</v>
      </c>
      <c r="D284" s="200">
        <f t="shared" si="16"/>
        <v>7.8438626301432452E-5</v>
      </c>
      <c r="E284" s="269"/>
      <c r="F284" s="254">
        <f>VLOOKUP(A284,'OPEB Amounts_Report'!$A$10:$A$324,1,FALSE)</f>
        <v>2750</v>
      </c>
      <c r="G284" s="116"/>
      <c r="H284" s="117"/>
    </row>
    <row r="285" spans="1:8">
      <c r="A285" s="195">
        <v>2770</v>
      </c>
      <c r="B285" s="196" t="s">
        <v>266</v>
      </c>
      <c r="C285" s="199">
        <f t="shared" si="15"/>
        <v>143858</v>
      </c>
      <c r="D285" s="201">
        <f t="shared" si="16"/>
        <v>1.1295319221693162E-3</v>
      </c>
      <c r="E285" s="269"/>
      <c r="F285" s="254">
        <f>VLOOKUP(A285,'OPEB Amounts_Report'!$A$10:$A$324,1,FALSE)</f>
        <v>2770</v>
      </c>
      <c r="G285" s="116"/>
      <c r="H285" s="117"/>
    </row>
    <row r="286" spans="1:8">
      <c r="A286" s="193">
        <v>32106</v>
      </c>
      <c r="B286" s="194" t="s">
        <v>267</v>
      </c>
      <c r="C286" s="198">
        <f t="shared" si="15"/>
        <v>7764</v>
      </c>
      <c r="D286" s="200">
        <f t="shared" si="16"/>
        <v>6.0960710170602757E-5</v>
      </c>
      <c r="E286" s="269"/>
      <c r="F286" s="254">
        <f>VLOOKUP(A286,'OPEB Amounts_Report'!$A$10:$A$324,1,FALSE)</f>
        <v>32106</v>
      </c>
      <c r="G286" s="116"/>
      <c r="H286" s="117"/>
    </row>
    <row r="287" spans="1:8">
      <c r="A287" s="195">
        <v>4180</v>
      </c>
      <c r="B287" s="196" t="s">
        <v>268</v>
      </c>
      <c r="C287" s="199">
        <f t="shared" si="15"/>
        <v>15154</v>
      </c>
      <c r="D287" s="201">
        <f t="shared" si="16"/>
        <v>1.189848791763671E-4</v>
      </c>
      <c r="E287" s="269"/>
      <c r="F287" s="254">
        <f>VLOOKUP(A287,'OPEB Amounts_Report'!$A$10:$A$324,1,FALSE)</f>
        <v>4180</v>
      </c>
      <c r="G287" s="116"/>
      <c r="H287" s="117"/>
    </row>
    <row r="288" spans="1:8">
      <c r="A288" s="193">
        <v>21063</v>
      </c>
      <c r="B288" s="194" t="s">
        <v>269</v>
      </c>
      <c r="C288" s="198">
        <f t="shared" si="15"/>
        <v>251804</v>
      </c>
      <c r="D288" s="200">
        <f t="shared" si="16"/>
        <v>1.977093078799389E-3</v>
      </c>
      <c r="E288" s="269"/>
      <c r="F288" s="254">
        <f>VLOOKUP(A288,'OPEB Amounts_Report'!$A$10:$A$324,1,FALSE)</f>
        <v>21063</v>
      </c>
      <c r="G288" s="116"/>
      <c r="H288" s="117"/>
    </row>
    <row r="289" spans="1:8">
      <c r="A289" s="195">
        <v>10033</v>
      </c>
      <c r="B289" s="196" t="s">
        <v>270</v>
      </c>
      <c r="C289" s="199">
        <f t="shared" si="15"/>
        <v>157646</v>
      </c>
      <c r="D289" s="201">
        <f t="shared" si="16"/>
        <v>1.2377913595511131E-3</v>
      </c>
      <c r="E289" s="269"/>
      <c r="F289" s="254">
        <f>VLOOKUP(A289,'OPEB Amounts_Report'!$A$10:$A$324,1,FALSE)</f>
        <v>10033</v>
      </c>
      <c r="G289" s="116"/>
      <c r="H289" s="117"/>
    </row>
    <row r="290" spans="1:8">
      <c r="A290" s="193">
        <v>15049</v>
      </c>
      <c r="B290" s="194" t="s">
        <v>271</v>
      </c>
      <c r="C290" s="198">
        <f t="shared" si="15"/>
        <v>192442</v>
      </c>
      <c r="D290" s="200">
        <f t="shared" si="16"/>
        <v>1.5109996118819083E-3</v>
      </c>
      <c r="E290" s="269"/>
      <c r="F290" s="254">
        <f>VLOOKUP(A290,'OPEB Amounts_Report'!$A$10:$A$324,1,FALSE)</f>
        <v>15049</v>
      </c>
      <c r="G290" s="116"/>
      <c r="H290" s="117"/>
    </row>
    <row r="291" spans="1:8">
      <c r="A291" s="195">
        <v>1315</v>
      </c>
      <c r="B291" s="196" t="s">
        <v>272</v>
      </c>
      <c r="C291" s="199">
        <f t="shared" si="15"/>
        <v>104797</v>
      </c>
      <c r="D291" s="201">
        <f t="shared" si="16"/>
        <v>8.2283610815928087E-4</v>
      </c>
      <c r="E291" s="269"/>
      <c r="F291" s="254">
        <f>VLOOKUP(A291,'OPEB Amounts_Report'!$A$10:$A$324,1,FALSE)</f>
        <v>1315</v>
      </c>
      <c r="G291" s="116"/>
      <c r="H291" s="117"/>
    </row>
    <row r="292" spans="1:8">
      <c r="A292" s="193">
        <v>3340</v>
      </c>
      <c r="B292" s="194" t="s">
        <v>273</v>
      </c>
      <c r="C292" s="198">
        <f t="shared" si="15"/>
        <v>33777</v>
      </c>
      <c r="D292" s="200">
        <f t="shared" si="16"/>
        <v>2.6520735541376217E-4</v>
      </c>
      <c r="E292" s="269"/>
      <c r="F292" s="254">
        <f>VLOOKUP(A292,'OPEB Amounts_Report'!$A$10:$A$324,1,FALSE)</f>
        <v>3340</v>
      </c>
      <c r="G292" s="116"/>
      <c r="H292" s="117"/>
    </row>
    <row r="293" spans="1:8">
      <c r="A293" s="195">
        <v>3350</v>
      </c>
      <c r="B293" s="196" t="s">
        <v>274</v>
      </c>
      <c r="C293" s="199">
        <f t="shared" si="15"/>
        <v>267940</v>
      </c>
      <c r="D293" s="201">
        <f t="shared" si="16"/>
        <v>2.1037883414620432E-3</v>
      </c>
      <c r="E293" s="269"/>
      <c r="F293" s="254">
        <f>VLOOKUP(A293,'OPEB Amounts_Report'!$A$10:$A$324,1,FALSE)</f>
        <v>3350</v>
      </c>
      <c r="G293" s="116"/>
      <c r="H293" s="117"/>
    </row>
    <row r="294" spans="1:8">
      <c r="A294" s="193">
        <v>24073</v>
      </c>
      <c r="B294" s="194" t="s">
        <v>275</v>
      </c>
      <c r="C294" s="198">
        <f t="shared" si="15"/>
        <v>31042</v>
      </c>
      <c r="D294" s="200">
        <f t="shared" si="16"/>
        <v>2.437329166815882E-4</v>
      </c>
      <c r="E294" s="269"/>
      <c r="F294" s="254">
        <f>VLOOKUP(A294,'OPEB Amounts_Report'!$A$10:$A$324,1,FALSE)</f>
        <v>24073</v>
      </c>
      <c r="G294" s="116"/>
      <c r="H294" s="117"/>
    </row>
    <row r="295" spans="1:8">
      <c r="A295" s="195">
        <v>2100</v>
      </c>
      <c r="B295" s="196" t="s">
        <v>276</v>
      </c>
      <c r="C295" s="199">
        <f t="shared" si="15"/>
        <v>29439</v>
      </c>
      <c r="D295" s="201">
        <f t="shared" si="16"/>
        <v>2.3114661858737436E-4</v>
      </c>
      <c r="E295" s="269"/>
      <c r="F295" s="254">
        <f>VLOOKUP(A295,'OPEB Amounts_Report'!$A$10:$A$324,1,FALSE)</f>
        <v>2100</v>
      </c>
      <c r="G295" s="116"/>
      <c r="H295" s="117"/>
    </row>
    <row r="296" spans="1:8">
      <c r="A296" s="193">
        <v>2130</v>
      </c>
      <c r="B296" s="194" t="s">
        <v>277</v>
      </c>
      <c r="C296" s="198">
        <f t="shared" si="15"/>
        <v>9501</v>
      </c>
      <c r="D296" s="200">
        <f t="shared" si="16"/>
        <v>7.4599137986977945E-5</v>
      </c>
      <c r="E296" s="269"/>
      <c r="F296" s="254">
        <f>VLOOKUP(A296,'OPEB Amounts_Report'!$A$10:$A$324,1,FALSE)</f>
        <v>2130</v>
      </c>
      <c r="G296" s="116"/>
      <c r="H296" s="117"/>
    </row>
    <row r="297" spans="1:8">
      <c r="A297" s="195">
        <v>32099</v>
      </c>
      <c r="B297" s="223" t="s">
        <v>278</v>
      </c>
      <c r="C297" s="265">
        <f t="shared" si="15"/>
        <v>11975</v>
      </c>
      <c r="D297" s="224">
        <f t="shared" si="16"/>
        <v>9.4024279275240594E-5</v>
      </c>
      <c r="E297" s="269"/>
      <c r="F297" s="254">
        <f>VLOOKUP(A297,'OPEB Amounts_Report'!$A$10:$A$324,1,FALSE)</f>
        <v>32099</v>
      </c>
      <c r="G297" s="116"/>
      <c r="H297" s="117"/>
    </row>
    <row r="298" spans="1:8">
      <c r="A298" s="193">
        <v>32100</v>
      </c>
      <c r="B298" s="194" t="s">
        <v>279</v>
      </c>
      <c r="C298" s="198">
        <f t="shared" si="15"/>
        <v>22885</v>
      </c>
      <c r="D298" s="200">
        <f t="shared" si="16"/>
        <v>1.7968648277360175E-4</v>
      </c>
      <c r="E298" s="269"/>
      <c r="F298" s="254">
        <f>VLOOKUP(A298,'OPEB Amounts_Report'!$A$10:$A$324,1,FALSE)</f>
        <v>32100</v>
      </c>
      <c r="G298" s="116"/>
      <c r="H298" s="117"/>
    </row>
    <row r="299" spans="1:8">
      <c r="A299" s="195">
        <v>32101</v>
      </c>
      <c r="B299" s="196" t="s">
        <v>280</v>
      </c>
      <c r="C299" s="199">
        <f t="shared" si="15"/>
        <v>8124</v>
      </c>
      <c r="D299" s="201">
        <f t="shared" si="16"/>
        <v>6.3787327334618345E-5</v>
      </c>
      <c r="E299" s="269"/>
      <c r="F299" s="254">
        <f>VLOOKUP(A299,'OPEB Amounts_Report'!$A$10:$A$324,1,FALSE)</f>
        <v>32101</v>
      </c>
      <c r="G299" s="116"/>
      <c r="H299" s="117"/>
    </row>
    <row r="300" spans="1:8" s="191" customFormat="1">
      <c r="A300" s="193">
        <v>32102</v>
      </c>
      <c r="B300" s="194" t="s">
        <v>281</v>
      </c>
      <c r="C300" s="198">
        <f t="shared" si="15"/>
        <v>13236</v>
      </c>
      <c r="D300" s="200">
        <f t="shared" si="16"/>
        <v>1.0392529106363963E-4</v>
      </c>
      <c r="E300" s="269"/>
      <c r="F300" s="254">
        <f>VLOOKUP(A300,'OPEB Amounts_Report'!$A$10:$A$324,1,FALSE)</f>
        <v>32102</v>
      </c>
      <c r="G300" s="116"/>
      <c r="H300" s="117"/>
    </row>
    <row r="301" spans="1:8" s="191" customFormat="1">
      <c r="A301" s="195">
        <v>2880</v>
      </c>
      <c r="B301" s="196" t="s">
        <v>282</v>
      </c>
      <c r="C301" s="199">
        <f t="shared" si="15"/>
        <v>4583</v>
      </c>
      <c r="D301" s="201">
        <f t="shared" si="16"/>
        <v>3.5984406840787276E-5</v>
      </c>
      <c r="E301" s="269"/>
      <c r="F301" s="254">
        <f>VLOOKUP(A301,'OPEB Amounts_Report'!$A$10:$A$324,1,FALSE)</f>
        <v>2880</v>
      </c>
      <c r="G301" s="116"/>
      <c r="H301" s="117"/>
    </row>
    <row r="302" spans="1:8" s="191" customFormat="1">
      <c r="A302" s="193">
        <v>2490</v>
      </c>
      <c r="B302" s="194" t="s">
        <v>283</v>
      </c>
      <c r="C302" s="198">
        <f t="shared" si="15"/>
        <v>37419</v>
      </c>
      <c r="D302" s="200">
        <f t="shared" si="16"/>
        <v>2.9380329905638646E-4</v>
      </c>
      <c r="E302" s="269"/>
      <c r="F302" s="254">
        <f>VLOOKUP(A302,'OPEB Amounts_Report'!$A$10:$A$324,1,FALSE)</f>
        <v>2490</v>
      </c>
      <c r="G302" s="116"/>
      <c r="H302" s="117"/>
    </row>
    <row r="303" spans="1:8" s="191" customFormat="1">
      <c r="A303" s="195">
        <v>2530</v>
      </c>
      <c r="B303" s="223" t="s">
        <v>284</v>
      </c>
      <c r="C303" s="265">
        <f t="shared" si="15"/>
        <v>7057</v>
      </c>
      <c r="D303" s="224">
        <f t="shared" si="16"/>
        <v>5.5409548129049932E-5</v>
      </c>
      <c r="E303" s="269"/>
      <c r="F303" s="254">
        <f>VLOOKUP(A303,'OPEB Amounts_Report'!$A$10:$A$324,1,FALSE)</f>
        <v>2530</v>
      </c>
      <c r="G303" s="116"/>
      <c r="H303" s="117"/>
    </row>
    <row r="304" spans="1:8" s="191" customFormat="1">
      <c r="A304" s="193">
        <v>2560</v>
      </c>
      <c r="B304" s="194" t="s">
        <v>285</v>
      </c>
      <c r="C304" s="198">
        <f t="shared" si="15"/>
        <v>19825</v>
      </c>
      <c r="D304" s="200">
        <f t="shared" si="16"/>
        <v>1.5566023687946931E-4</v>
      </c>
      <c r="E304" s="269"/>
      <c r="F304" s="254">
        <f>VLOOKUP(A304,'OPEB Amounts_Report'!$A$10:$A$324,1,FALSE)</f>
        <v>2560</v>
      </c>
      <c r="G304" s="116"/>
      <c r="H304" s="117"/>
    </row>
    <row r="305" spans="1:8" s="191" customFormat="1">
      <c r="A305" s="195">
        <v>2610</v>
      </c>
      <c r="B305" s="196" t="s">
        <v>286</v>
      </c>
      <c r="C305" s="199">
        <f t="shared" si="15"/>
        <v>3957</v>
      </c>
      <c r="D305" s="201">
        <f t="shared" si="16"/>
        <v>3.1069233661137961E-5</v>
      </c>
      <c r="E305" s="269"/>
      <c r="F305" s="254">
        <f>VLOOKUP(A305,'OPEB Amounts_Report'!$A$10:$A$324,1,FALSE)</f>
        <v>2610</v>
      </c>
      <c r="G305" s="116"/>
      <c r="H305" s="117"/>
    </row>
    <row r="306" spans="1:8" s="191" customFormat="1">
      <c r="A306" s="193">
        <v>2800</v>
      </c>
      <c r="B306" s="194" t="s">
        <v>287</v>
      </c>
      <c r="C306" s="198">
        <f t="shared" si="15"/>
        <v>11841</v>
      </c>
      <c r="D306" s="200">
        <f t="shared" si="16"/>
        <v>9.2972149553079248E-5</v>
      </c>
      <c r="E306" s="269"/>
      <c r="F306" s="254">
        <f>VLOOKUP(A306,'OPEB Amounts_Report'!$A$10:$A$324,1,FALSE)</f>
        <v>2800</v>
      </c>
      <c r="G306" s="116"/>
      <c r="H306" s="117"/>
    </row>
    <row r="307" spans="1:8" s="191" customFormat="1">
      <c r="A307" s="195">
        <v>20317</v>
      </c>
      <c r="B307" s="196" t="s">
        <v>288</v>
      </c>
      <c r="C307" s="199">
        <f t="shared" si="15"/>
        <v>19716</v>
      </c>
      <c r="D307" s="201">
        <f t="shared" si="16"/>
        <v>1.5480440001592013E-4</v>
      </c>
      <c r="E307" s="269"/>
      <c r="F307" s="254">
        <f>VLOOKUP(A307,'OPEB Amounts_Report'!$A$10:$A$324,1,FALSE)</f>
        <v>20317</v>
      </c>
      <c r="G307" s="116"/>
      <c r="H307" s="117"/>
    </row>
    <row r="308" spans="1:8" s="191" customFormat="1">
      <c r="A308" s="193">
        <v>2442</v>
      </c>
      <c r="B308" s="194" t="s">
        <v>426</v>
      </c>
      <c r="C308" s="198">
        <f t="shared" si="15"/>
        <v>18324</v>
      </c>
      <c r="D308" s="200">
        <f t="shared" si="16"/>
        <v>1.4387481364839321E-4</v>
      </c>
      <c r="E308" s="269"/>
      <c r="F308" s="254">
        <f>VLOOKUP(A308,'OPEB Amounts_Report'!$A$10:$A$324,1,FALSE)</f>
        <v>2442</v>
      </c>
      <c r="G308" s="116"/>
      <c r="H308" s="117"/>
    </row>
    <row r="309" spans="1:8" s="191" customFormat="1">
      <c r="A309" s="195">
        <v>30090</v>
      </c>
      <c r="B309" s="196" t="s">
        <v>289</v>
      </c>
      <c r="C309" s="199">
        <f t="shared" si="15"/>
        <v>35592</v>
      </c>
      <c r="D309" s="201">
        <f t="shared" si="16"/>
        <v>2.7945821694900738E-4</v>
      </c>
      <c r="E309" s="269"/>
      <c r="F309" s="254">
        <f>VLOOKUP(A309,'OPEB Amounts_Report'!$A$10:$A$324,1,FALSE)</f>
        <v>30090</v>
      </c>
      <c r="G309" s="116"/>
      <c r="H309" s="117"/>
    </row>
    <row r="310" spans="1:8">
      <c r="A310" s="193">
        <v>29330</v>
      </c>
      <c r="B310" s="194" t="s">
        <v>290</v>
      </c>
      <c r="C310" s="198">
        <f t="shared" si="15"/>
        <v>17820</v>
      </c>
      <c r="D310" s="200">
        <f t="shared" si="16"/>
        <v>1.399175496187714E-4</v>
      </c>
      <c r="E310" s="269"/>
      <c r="F310" s="254">
        <f>VLOOKUP(A310,'OPEB Amounts_Report'!$A$10:$A$324,1,FALSE)</f>
        <v>29330</v>
      </c>
      <c r="G310" s="116"/>
      <c r="H310" s="117"/>
    </row>
    <row r="311" spans="1:8">
      <c r="A311" s="195">
        <v>12038</v>
      </c>
      <c r="B311" s="196" t="s">
        <v>291</v>
      </c>
      <c r="C311" s="199">
        <f t="shared" si="15"/>
        <v>301499</v>
      </c>
      <c r="D311" s="201">
        <f t="shared" si="16"/>
        <v>2.3672840231487068E-3</v>
      </c>
      <c r="E311" s="269"/>
      <c r="F311" s="254">
        <f>VLOOKUP(A311,'OPEB Amounts_Report'!$A$10:$A$324,1,FALSE)</f>
        <v>12038</v>
      </c>
      <c r="G311" s="116"/>
      <c r="H311" s="117"/>
    </row>
    <row r="312" spans="1:8" s="191" customFormat="1">
      <c r="A312" s="193">
        <v>8099</v>
      </c>
      <c r="B312" s="194" t="s">
        <v>292</v>
      </c>
      <c r="C312" s="198">
        <f>+VLOOKUP(A312,$D$321:$F$629,3,FALSE)</f>
        <v>537109</v>
      </c>
      <c r="D312" s="200">
        <f t="shared" si="16"/>
        <v>4.2172264398534619E-3</v>
      </c>
      <c r="E312" s="269"/>
      <c r="F312" s="254">
        <f>VLOOKUP(A312,'OPEB Amounts_Report'!$A$10:$A$324,1,FALSE)</f>
        <v>8099</v>
      </c>
      <c r="G312" s="116"/>
      <c r="H312" s="117"/>
    </row>
    <row r="313" spans="1:8">
      <c r="A313" s="195">
        <v>2417</v>
      </c>
      <c r="B313" s="196" t="s">
        <v>293</v>
      </c>
      <c r="C313" s="199">
        <f t="shared" ref="C313:C314" si="17">+VLOOKUP(A313,$D$321:$F$629,3,FALSE)</f>
        <v>10479</v>
      </c>
      <c r="D313" s="201">
        <f t="shared" si="16"/>
        <v>8.2278114615886945E-5</v>
      </c>
      <c r="E313" s="269"/>
      <c r="F313" s="254">
        <f>VLOOKUP(A313,'OPEB Amounts_Report'!$A$10:$A$324,1,FALSE)</f>
        <v>2417</v>
      </c>
      <c r="G313" s="116"/>
      <c r="H313" s="117"/>
    </row>
    <row r="314" spans="1:8">
      <c r="A314" s="193">
        <v>13142</v>
      </c>
      <c r="B314" s="194" t="s">
        <v>294</v>
      </c>
      <c r="C314" s="364">
        <f t="shared" si="17"/>
        <v>328450</v>
      </c>
      <c r="D314" s="365">
        <f t="shared" si="16"/>
        <v>2.5788955764469959E-3</v>
      </c>
      <c r="E314" s="269"/>
      <c r="F314" s="254">
        <f>VLOOKUP(A314,'OPEB Amounts_Report'!$A$10:$A$324,1,FALSE)</f>
        <v>13142</v>
      </c>
    </row>
    <row r="315" spans="1:8" s="191" customFormat="1">
      <c r="A315" s="193"/>
      <c r="B315" s="194"/>
      <c r="C315" s="198"/>
      <c r="D315" s="200"/>
      <c r="E315" s="130"/>
      <c r="F315" s="130"/>
    </row>
    <row r="316" spans="1:8" s="191" customFormat="1" ht="13.5" thickBot="1">
      <c r="A316" s="204"/>
      <c r="B316" s="207"/>
      <c r="C316" s="239">
        <f>SUM(C9:C315)</f>
        <v>127360721</v>
      </c>
      <c r="D316" s="208">
        <f>SUM(D9:D315)</f>
        <v>1.0000000000000004</v>
      </c>
      <c r="E316" s="130"/>
      <c r="F316" s="130"/>
    </row>
    <row r="317" spans="1:8" s="191" customFormat="1" ht="13.5" thickTop="1">
      <c r="A317" s="204"/>
      <c r="B317" s="207"/>
      <c r="C317" s="255"/>
      <c r="D317" s="206"/>
      <c r="E317" s="130"/>
      <c r="F317" s="130"/>
    </row>
    <row r="318" spans="1:8" s="191" customFormat="1">
      <c r="A318" s="204"/>
      <c r="B318" s="207"/>
      <c r="E318" s="130"/>
      <c r="F318" s="130"/>
    </row>
    <row r="319" spans="1:8" s="191" customFormat="1">
      <c r="A319" s="204"/>
      <c r="B319" s="207"/>
      <c r="C319" s="255"/>
      <c r="D319" s="206"/>
      <c r="E319" s="130"/>
      <c r="F319" s="130"/>
    </row>
    <row r="320" spans="1:8" s="191" customFormat="1">
      <c r="A320" s="204"/>
      <c r="B320" s="207"/>
      <c r="C320" s="255"/>
      <c r="D320" s="206"/>
      <c r="E320" s="130"/>
      <c r="F320" s="130"/>
    </row>
    <row r="321" spans="1:8" ht="15">
      <c r="A321" s="32"/>
      <c r="B321" s="11"/>
      <c r="C321" s="160"/>
      <c r="D321" s="316" t="s">
        <v>479</v>
      </c>
      <c r="E321" s="316" t="s">
        <v>480</v>
      </c>
      <c r="F321" s="322" t="s">
        <v>481</v>
      </c>
    </row>
    <row r="322" spans="1:8" ht="15">
      <c r="D322" s="316">
        <v>1341</v>
      </c>
      <c r="E322" s="316" t="s">
        <v>5</v>
      </c>
      <c r="F322" s="314">
        <v>30679831</v>
      </c>
      <c r="G322" s="243">
        <f>VLOOKUP(D322,$A$9:$C$314,3,FALSE)</f>
        <v>30679831</v>
      </c>
      <c r="H322" s="244">
        <f>+F322-G322</f>
        <v>0</v>
      </c>
    </row>
    <row r="323" spans="1:8" ht="15">
      <c r="D323" s="316"/>
      <c r="E323" s="316"/>
      <c r="F323" s="317"/>
    </row>
    <row r="324" spans="1:8" ht="15">
      <c r="D324" s="316"/>
      <c r="E324" s="316"/>
      <c r="F324" s="322"/>
    </row>
    <row r="325" spans="1:8" ht="15">
      <c r="D325" s="316">
        <v>2308</v>
      </c>
      <c r="E325" s="316" t="s">
        <v>6</v>
      </c>
      <c r="F325" s="322">
        <v>58318</v>
      </c>
      <c r="G325" s="243">
        <f t="shared" ref="G325:G388" si="18">VLOOKUP(D325,$A$9:$C$314,3,FALSE)</f>
        <v>58318</v>
      </c>
      <c r="H325" s="244">
        <f>+F325-G325</f>
        <v>0</v>
      </c>
    </row>
    <row r="326" spans="1:8" ht="15">
      <c r="D326" s="316">
        <v>2340</v>
      </c>
      <c r="E326" s="316" t="s">
        <v>7</v>
      </c>
      <c r="F326" s="322">
        <v>56517</v>
      </c>
      <c r="G326" s="243">
        <f t="shared" si="18"/>
        <v>56517</v>
      </c>
      <c r="H326" s="244">
        <f t="shared" ref="H326:H389" si="19">+F326-G326</f>
        <v>0</v>
      </c>
    </row>
    <row r="327" spans="1:8" ht="15">
      <c r="D327" s="316">
        <v>1301</v>
      </c>
      <c r="E327" s="316" t="s">
        <v>8</v>
      </c>
      <c r="F327" s="322">
        <v>65256</v>
      </c>
      <c r="G327" s="243">
        <f t="shared" si="18"/>
        <v>65256</v>
      </c>
      <c r="H327" s="244">
        <f t="shared" si="19"/>
        <v>0</v>
      </c>
    </row>
    <row r="328" spans="1:8" ht="15">
      <c r="D328" s="316">
        <v>2390</v>
      </c>
      <c r="E328" s="315" t="s">
        <v>9</v>
      </c>
      <c r="F328" s="322">
        <v>51993</v>
      </c>
      <c r="G328" s="243">
        <f t="shared" si="18"/>
        <v>51993</v>
      </c>
      <c r="H328" s="244">
        <f t="shared" si="19"/>
        <v>0</v>
      </c>
    </row>
    <row r="329" spans="1:8" ht="15">
      <c r="D329" s="316">
        <v>2441</v>
      </c>
      <c r="E329" s="316" t="s">
        <v>419</v>
      </c>
      <c r="F329" s="322">
        <v>23967</v>
      </c>
      <c r="G329" s="243">
        <f t="shared" si="18"/>
        <v>23967</v>
      </c>
      <c r="H329" s="244">
        <f t="shared" si="19"/>
        <v>0</v>
      </c>
    </row>
    <row r="330" spans="1:8" ht="15">
      <c r="D330" s="316">
        <v>15046</v>
      </c>
      <c r="E330" s="316" t="s">
        <v>10</v>
      </c>
      <c r="F330" s="322">
        <v>961525</v>
      </c>
      <c r="G330" s="243">
        <f t="shared" si="18"/>
        <v>961525</v>
      </c>
      <c r="H330" s="244">
        <f t="shared" si="19"/>
        <v>0</v>
      </c>
    </row>
    <row r="331" spans="1:8" ht="15">
      <c r="D331" s="316">
        <v>2420</v>
      </c>
      <c r="E331" s="316" t="s">
        <v>482</v>
      </c>
      <c r="F331" s="322">
        <v>33831</v>
      </c>
      <c r="G331" s="243">
        <f t="shared" si="18"/>
        <v>33831</v>
      </c>
      <c r="H331" s="244">
        <f t="shared" si="19"/>
        <v>0</v>
      </c>
    </row>
    <row r="332" spans="1:8" ht="15">
      <c r="D332" s="316">
        <v>4380</v>
      </c>
      <c r="E332" s="317" t="s">
        <v>11</v>
      </c>
      <c r="F332" s="322">
        <v>787897</v>
      </c>
      <c r="G332" s="243">
        <f t="shared" si="18"/>
        <v>787897</v>
      </c>
      <c r="H332" s="244">
        <f t="shared" si="19"/>
        <v>0</v>
      </c>
    </row>
    <row r="333" spans="1:8" ht="15">
      <c r="D333" s="316">
        <v>2343</v>
      </c>
      <c r="E333" s="316" t="s">
        <v>420</v>
      </c>
      <c r="F333" s="322">
        <v>75969</v>
      </c>
      <c r="G333" s="243">
        <f t="shared" si="18"/>
        <v>75969</v>
      </c>
      <c r="H333" s="244">
        <f t="shared" si="19"/>
        <v>0</v>
      </c>
    </row>
    <row r="334" spans="1:8" ht="15">
      <c r="D334" s="316">
        <v>2435</v>
      </c>
      <c r="E334" s="316" t="s">
        <v>396</v>
      </c>
      <c r="F334" s="322">
        <v>30149</v>
      </c>
      <c r="G334" s="243">
        <f t="shared" si="18"/>
        <v>30149</v>
      </c>
      <c r="H334" s="244">
        <f t="shared" si="19"/>
        <v>0</v>
      </c>
    </row>
    <row r="335" spans="1:8" ht="15">
      <c r="D335" s="316">
        <v>4560</v>
      </c>
      <c r="E335" s="318" t="s">
        <v>12</v>
      </c>
      <c r="F335" s="322">
        <v>76653</v>
      </c>
      <c r="G335" s="243">
        <f t="shared" si="18"/>
        <v>76653</v>
      </c>
      <c r="H335" s="244">
        <f t="shared" si="19"/>
        <v>0</v>
      </c>
    </row>
    <row r="336" spans="1:8" ht="15">
      <c r="D336" s="316">
        <v>2341</v>
      </c>
      <c r="E336" s="316" t="s">
        <v>448</v>
      </c>
      <c r="F336" s="322">
        <v>43421</v>
      </c>
      <c r="G336" s="243">
        <f t="shared" si="18"/>
        <v>43421</v>
      </c>
      <c r="H336" s="244">
        <f t="shared" si="19"/>
        <v>0</v>
      </c>
    </row>
    <row r="337" spans="4:8" ht="15">
      <c r="D337" s="316">
        <v>4580</v>
      </c>
      <c r="E337" s="316" t="s">
        <v>397</v>
      </c>
      <c r="F337" s="322">
        <v>44516</v>
      </c>
      <c r="G337" s="243">
        <f t="shared" si="18"/>
        <v>44516</v>
      </c>
      <c r="H337" s="244">
        <f t="shared" si="19"/>
        <v>0</v>
      </c>
    </row>
    <row r="338" spans="4:8" ht="15">
      <c r="D338" s="316">
        <v>2003</v>
      </c>
      <c r="E338" s="316" t="s">
        <v>13</v>
      </c>
      <c r="F338" s="322">
        <v>14087128</v>
      </c>
      <c r="G338" s="243">
        <f t="shared" si="18"/>
        <v>14087128</v>
      </c>
      <c r="H338" s="244">
        <f t="shared" si="19"/>
        <v>0</v>
      </c>
    </row>
    <row r="339" spans="4:8" ht="15">
      <c r="D339" s="316">
        <v>2412</v>
      </c>
      <c r="E339" s="316" t="s">
        <v>14</v>
      </c>
      <c r="F339" s="322">
        <v>136033</v>
      </c>
      <c r="G339" s="243">
        <f t="shared" si="18"/>
        <v>136033</v>
      </c>
      <c r="H339" s="244">
        <f t="shared" si="19"/>
        <v>0</v>
      </c>
    </row>
    <row r="340" spans="4:8" ht="15">
      <c r="D340" s="316">
        <v>2402</v>
      </c>
      <c r="E340" s="316" t="s">
        <v>15</v>
      </c>
      <c r="F340" s="322">
        <v>67533</v>
      </c>
      <c r="G340" s="243">
        <f t="shared" si="18"/>
        <v>67533</v>
      </c>
      <c r="H340" s="244">
        <f t="shared" si="19"/>
        <v>0</v>
      </c>
    </row>
    <row r="341" spans="4:8" ht="15">
      <c r="D341" s="316">
        <v>2361</v>
      </c>
      <c r="E341" s="316" t="s">
        <v>16</v>
      </c>
      <c r="F341" s="322">
        <v>22735</v>
      </c>
      <c r="G341" s="243">
        <f t="shared" si="18"/>
        <v>22735</v>
      </c>
      <c r="H341" s="244">
        <f t="shared" si="19"/>
        <v>0</v>
      </c>
    </row>
    <row r="342" spans="4:8" ht="15">
      <c r="D342" s="316">
        <v>8347</v>
      </c>
      <c r="E342" s="316" t="s">
        <v>17</v>
      </c>
      <c r="F342" s="322">
        <v>42942</v>
      </c>
      <c r="G342" s="243">
        <f t="shared" si="18"/>
        <v>42942</v>
      </c>
      <c r="H342" s="244">
        <f t="shared" si="19"/>
        <v>0</v>
      </c>
    </row>
    <row r="343" spans="4:8" ht="15">
      <c r="D343" s="316">
        <v>2356</v>
      </c>
      <c r="E343" s="318" t="s">
        <v>18</v>
      </c>
      <c r="F343" s="322">
        <v>77333</v>
      </c>
      <c r="G343" s="243">
        <f t="shared" si="18"/>
        <v>77333</v>
      </c>
      <c r="H343" s="244">
        <f t="shared" si="19"/>
        <v>0</v>
      </c>
    </row>
    <row r="344" spans="4:8" ht="15">
      <c r="D344" s="316">
        <v>7335</v>
      </c>
      <c r="E344" s="316" t="s">
        <v>19</v>
      </c>
      <c r="F344" s="322">
        <v>21347</v>
      </c>
      <c r="G344" s="243">
        <f t="shared" si="18"/>
        <v>21347</v>
      </c>
      <c r="H344" s="244">
        <f t="shared" si="19"/>
        <v>0</v>
      </c>
    </row>
    <row r="345" spans="4:8" ht="15">
      <c r="D345" s="316">
        <v>575</v>
      </c>
      <c r="E345" s="316" t="s">
        <v>398</v>
      </c>
      <c r="F345" s="322">
        <v>27670</v>
      </c>
      <c r="G345" s="243">
        <f t="shared" si="18"/>
        <v>27670</v>
      </c>
      <c r="H345" s="244">
        <f t="shared" si="19"/>
        <v>0</v>
      </c>
    </row>
    <row r="346" spans="4:8" ht="15">
      <c r="D346" s="316">
        <v>2303</v>
      </c>
      <c r="E346" s="316" t="s">
        <v>20</v>
      </c>
      <c r="F346" s="322">
        <v>47813</v>
      </c>
      <c r="G346" s="243">
        <f t="shared" si="18"/>
        <v>47813</v>
      </c>
      <c r="H346" s="244">
        <f t="shared" si="19"/>
        <v>0</v>
      </c>
    </row>
    <row r="347" spans="4:8" ht="15">
      <c r="D347" s="316">
        <v>20316</v>
      </c>
      <c r="E347" s="316" t="s">
        <v>21</v>
      </c>
      <c r="F347" s="322">
        <v>33803</v>
      </c>
      <c r="G347" s="243">
        <f t="shared" si="18"/>
        <v>33803</v>
      </c>
      <c r="H347" s="244">
        <f t="shared" si="19"/>
        <v>0</v>
      </c>
    </row>
    <row r="348" spans="4:8" ht="15">
      <c r="D348" s="316">
        <v>23121</v>
      </c>
      <c r="E348" s="316" t="s">
        <v>22</v>
      </c>
      <c r="F348" s="322">
        <v>41285</v>
      </c>
      <c r="G348" s="243">
        <f t="shared" si="18"/>
        <v>41285</v>
      </c>
      <c r="H348" s="244">
        <f t="shared" si="19"/>
        <v>0</v>
      </c>
    </row>
    <row r="349" spans="4:8" ht="15">
      <c r="D349" s="316">
        <v>3004</v>
      </c>
      <c r="E349" s="316" t="s">
        <v>23</v>
      </c>
      <c r="F349" s="322">
        <v>603295</v>
      </c>
      <c r="G349" s="243">
        <f t="shared" si="18"/>
        <v>603295</v>
      </c>
      <c r="H349" s="244">
        <f t="shared" si="19"/>
        <v>0</v>
      </c>
    </row>
    <row r="350" spans="4:8" ht="15">
      <c r="D350" s="316">
        <v>16050</v>
      </c>
      <c r="E350" s="316" t="s">
        <v>24</v>
      </c>
      <c r="F350" s="322">
        <v>395643</v>
      </c>
      <c r="G350" s="243">
        <f t="shared" si="18"/>
        <v>395643</v>
      </c>
      <c r="H350" s="244">
        <f t="shared" si="19"/>
        <v>0</v>
      </c>
    </row>
    <row r="351" spans="4:8" ht="15">
      <c r="D351" s="316">
        <v>14043</v>
      </c>
      <c r="E351" s="316" t="s">
        <v>25</v>
      </c>
      <c r="F351" s="322">
        <v>604735</v>
      </c>
      <c r="G351" s="243">
        <f t="shared" si="18"/>
        <v>604735</v>
      </c>
      <c r="H351" s="244">
        <f t="shared" si="19"/>
        <v>0</v>
      </c>
    </row>
    <row r="352" spans="4:8" ht="15">
      <c r="D352" s="316">
        <v>3010</v>
      </c>
      <c r="E352" s="316" t="s">
        <v>26</v>
      </c>
      <c r="F352" s="322">
        <v>3693592</v>
      </c>
      <c r="G352" s="243">
        <f t="shared" si="18"/>
        <v>3693592</v>
      </c>
      <c r="H352" s="244">
        <f t="shared" si="19"/>
        <v>0</v>
      </c>
    </row>
    <row r="353" spans="4:8" ht="15">
      <c r="D353" s="316">
        <v>29086</v>
      </c>
      <c r="E353" s="316" t="s">
        <v>27</v>
      </c>
      <c r="F353" s="322">
        <v>685763</v>
      </c>
      <c r="G353" s="243">
        <f t="shared" si="18"/>
        <v>685763</v>
      </c>
      <c r="H353" s="244">
        <f t="shared" si="19"/>
        <v>0</v>
      </c>
    </row>
    <row r="354" spans="4:8" ht="15">
      <c r="D354" s="316">
        <v>16051</v>
      </c>
      <c r="E354" s="316" t="s">
        <v>28</v>
      </c>
      <c r="F354" s="322">
        <v>475580</v>
      </c>
      <c r="G354" s="243">
        <f t="shared" si="18"/>
        <v>475580</v>
      </c>
      <c r="H354" s="244">
        <f t="shared" si="19"/>
        <v>0</v>
      </c>
    </row>
    <row r="355" spans="4:8" ht="15">
      <c r="D355" s="316">
        <v>26077</v>
      </c>
      <c r="E355" s="316" t="s">
        <v>29</v>
      </c>
      <c r="F355" s="322">
        <v>97057</v>
      </c>
      <c r="G355" s="243">
        <f t="shared" si="18"/>
        <v>97057</v>
      </c>
      <c r="H355" s="244">
        <f t="shared" si="19"/>
        <v>0</v>
      </c>
    </row>
    <row r="356" spans="4:8" ht="15">
      <c r="D356" s="316">
        <v>3005</v>
      </c>
      <c r="E356" s="316" t="s">
        <v>30</v>
      </c>
      <c r="F356" s="322">
        <v>1220090</v>
      </c>
      <c r="G356" s="243">
        <f t="shared" si="18"/>
        <v>1220090</v>
      </c>
      <c r="H356" s="244">
        <f t="shared" si="19"/>
        <v>0</v>
      </c>
    </row>
    <row r="357" spans="4:8" ht="15">
      <c r="D357" s="316">
        <v>26078</v>
      </c>
      <c r="E357" s="316" t="s">
        <v>31</v>
      </c>
      <c r="F357" s="322">
        <v>39156</v>
      </c>
      <c r="G357" s="243">
        <f t="shared" si="18"/>
        <v>39156</v>
      </c>
      <c r="H357" s="244">
        <f t="shared" si="19"/>
        <v>0</v>
      </c>
    </row>
    <row r="358" spans="4:8" ht="15">
      <c r="D358" s="316">
        <v>16053</v>
      </c>
      <c r="E358" s="316" t="s">
        <v>32</v>
      </c>
      <c r="F358" s="322">
        <v>1186851</v>
      </c>
      <c r="G358" s="243">
        <f t="shared" si="18"/>
        <v>1186851</v>
      </c>
      <c r="H358" s="244">
        <f t="shared" si="19"/>
        <v>0</v>
      </c>
    </row>
    <row r="359" spans="4:8" ht="15">
      <c r="D359" s="316">
        <v>2123</v>
      </c>
      <c r="E359" s="316" t="s">
        <v>33</v>
      </c>
      <c r="F359" s="322">
        <v>2007551</v>
      </c>
      <c r="G359" s="243">
        <f t="shared" si="18"/>
        <v>2007551</v>
      </c>
      <c r="H359" s="244">
        <f t="shared" si="19"/>
        <v>0</v>
      </c>
    </row>
    <row r="360" spans="4:8" ht="15">
      <c r="D360" s="316">
        <v>2150</v>
      </c>
      <c r="E360" s="316" t="s">
        <v>34</v>
      </c>
      <c r="F360" s="322">
        <v>169184</v>
      </c>
      <c r="G360" s="243">
        <f t="shared" si="18"/>
        <v>169184</v>
      </c>
      <c r="H360" s="244">
        <f t="shared" si="19"/>
        <v>0</v>
      </c>
    </row>
    <row r="361" spans="4:8" ht="15">
      <c r="D361" s="316">
        <v>2336</v>
      </c>
      <c r="E361" s="316" t="s">
        <v>35</v>
      </c>
      <c r="F361" s="322">
        <v>31859</v>
      </c>
      <c r="G361" s="243">
        <f t="shared" si="18"/>
        <v>31859</v>
      </c>
      <c r="H361" s="244">
        <f t="shared" si="19"/>
        <v>0</v>
      </c>
    </row>
    <row r="362" spans="4:8" ht="15">
      <c r="D362" s="316">
        <v>17126</v>
      </c>
      <c r="E362" s="316" t="s">
        <v>36</v>
      </c>
      <c r="F362" s="322">
        <v>87420</v>
      </c>
      <c r="G362" s="243">
        <f t="shared" si="18"/>
        <v>87420</v>
      </c>
      <c r="H362" s="244">
        <f t="shared" si="19"/>
        <v>0</v>
      </c>
    </row>
    <row r="363" spans="4:8" ht="15">
      <c r="D363" s="316">
        <v>3030</v>
      </c>
      <c r="E363" s="316" t="s">
        <v>37</v>
      </c>
      <c r="F363" s="322">
        <v>225300</v>
      </c>
      <c r="G363" s="243">
        <f t="shared" si="18"/>
        <v>225300</v>
      </c>
      <c r="H363" s="244">
        <f t="shared" si="19"/>
        <v>0</v>
      </c>
    </row>
    <row r="364" spans="4:8" ht="15">
      <c r="D364" s="316">
        <v>2353</v>
      </c>
      <c r="E364" s="316" t="s">
        <v>38</v>
      </c>
      <c r="F364" s="322">
        <v>97864</v>
      </c>
      <c r="G364" s="243">
        <f t="shared" si="18"/>
        <v>97864</v>
      </c>
      <c r="H364" s="244">
        <f t="shared" si="19"/>
        <v>0</v>
      </c>
    </row>
    <row r="365" spans="4:8" ht="15">
      <c r="D365" s="316">
        <v>3040</v>
      </c>
      <c r="E365" s="316" t="s">
        <v>39</v>
      </c>
      <c r="F365" s="322">
        <v>104754</v>
      </c>
      <c r="G365" s="243">
        <f t="shared" si="18"/>
        <v>104754</v>
      </c>
      <c r="H365" s="244">
        <f t="shared" si="19"/>
        <v>0</v>
      </c>
    </row>
    <row r="366" spans="4:8" ht="15">
      <c r="D366" s="316">
        <v>2367</v>
      </c>
      <c r="E366" s="316" t="s">
        <v>40</v>
      </c>
      <c r="F366" s="322">
        <v>83979</v>
      </c>
      <c r="G366" s="243">
        <f t="shared" si="18"/>
        <v>83979</v>
      </c>
      <c r="H366" s="244">
        <f t="shared" si="19"/>
        <v>0</v>
      </c>
    </row>
    <row r="367" spans="4:8" ht="15">
      <c r="D367" s="316">
        <v>9027</v>
      </c>
      <c r="E367" s="316" t="s">
        <v>41</v>
      </c>
      <c r="F367" s="322">
        <v>89169</v>
      </c>
      <c r="G367" s="243">
        <f t="shared" si="18"/>
        <v>89169</v>
      </c>
      <c r="H367" s="244">
        <f t="shared" si="19"/>
        <v>0</v>
      </c>
    </row>
    <row r="368" spans="4:8" ht="15">
      <c r="D368" s="316">
        <v>2010</v>
      </c>
      <c r="E368" s="316" t="s">
        <v>42</v>
      </c>
      <c r="F368" s="322">
        <v>333647</v>
      </c>
      <c r="G368" s="243">
        <f t="shared" si="18"/>
        <v>333647</v>
      </c>
      <c r="H368" s="244">
        <f t="shared" si="19"/>
        <v>0</v>
      </c>
    </row>
    <row r="369" spans="4:8" ht="15">
      <c r="D369" s="316">
        <v>2020</v>
      </c>
      <c r="E369" s="316" t="s">
        <v>43</v>
      </c>
      <c r="F369" s="322">
        <v>8280642</v>
      </c>
      <c r="G369" s="243">
        <f t="shared" si="18"/>
        <v>8280642</v>
      </c>
      <c r="H369" s="244">
        <f t="shared" si="19"/>
        <v>0</v>
      </c>
    </row>
    <row r="370" spans="4:8" ht="15">
      <c r="D370" s="316">
        <v>2040</v>
      </c>
      <c r="E370" s="316" t="s">
        <v>44</v>
      </c>
      <c r="F370" s="322">
        <v>112591</v>
      </c>
      <c r="G370" s="243">
        <f t="shared" si="18"/>
        <v>112591</v>
      </c>
      <c r="H370" s="244">
        <f t="shared" si="19"/>
        <v>0</v>
      </c>
    </row>
    <row r="371" spans="4:8" ht="15">
      <c r="D371" s="316">
        <v>2060</v>
      </c>
      <c r="E371" s="316" t="s">
        <v>45</v>
      </c>
      <c r="F371" s="322">
        <v>162512</v>
      </c>
      <c r="G371" s="243">
        <f t="shared" si="18"/>
        <v>162512</v>
      </c>
      <c r="H371" s="244">
        <f t="shared" si="19"/>
        <v>0</v>
      </c>
    </row>
    <row r="372" spans="4:8" ht="15">
      <c r="D372" s="316">
        <v>2090</v>
      </c>
      <c r="E372" s="316" t="s">
        <v>46</v>
      </c>
      <c r="F372" s="322">
        <v>96193</v>
      </c>
      <c r="G372" s="243">
        <f t="shared" si="18"/>
        <v>96193</v>
      </c>
      <c r="H372" s="244">
        <f t="shared" si="19"/>
        <v>0</v>
      </c>
    </row>
    <row r="373" spans="4:8" ht="15">
      <c r="D373" s="316">
        <v>2110</v>
      </c>
      <c r="E373" s="316" t="s">
        <v>47</v>
      </c>
      <c r="F373" s="322">
        <v>661744</v>
      </c>
      <c r="G373" s="243">
        <f t="shared" si="18"/>
        <v>661744</v>
      </c>
      <c r="H373" s="244">
        <f t="shared" si="19"/>
        <v>0</v>
      </c>
    </row>
    <row r="374" spans="4:8" ht="15">
      <c r="D374" s="316">
        <v>2180</v>
      </c>
      <c r="E374" s="316" t="s">
        <v>48</v>
      </c>
      <c r="F374" s="322">
        <v>330494</v>
      </c>
      <c r="G374" s="243">
        <f t="shared" si="18"/>
        <v>330494</v>
      </c>
      <c r="H374" s="244">
        <f t="shared" si="19"/>
        <v>0</v>
      </c>
    </row>
    <row r="375" spans="4:8" ht="15">
      <c r="D375" s="316">
        <v>2210</v>
      </c>
      <c r="E375" s="316" t="s">
        <v>49</v>
      </c>
      <c r="F375" s="322">
        <v>149140</v>
      </c>
      <c r="G375" s="243">
        <f t="shared" si="18"/>
        <v>149140</v>
      </c>
      <c r="H375" s="244">
        <f t="shared" si="19"/>
        <v>0</v>
      </c>
    </row>
    <row r="376" spans="4:8" ht="15">
      <c r="D376" s="316">
        <v>2290</v>
      </c>
      <c r="E376" s="316" t="s">
        <v>50</v>
      </c>
      <c r="F376" s="322">
        <v>160562</v>
      </c>
      <c r="G376" s="243">
        <f t="shared" si="18"/>
        <v>160562</v>
      </c>
      <c r="H376" s="244">
        <f t="shared" si="19"/>
        <v>0</v>
      </c>
    </row>
    <row r="377" spans="4:8" ht="15">
      <c r="D377" s="316">
        <v>2310</v>
      </c>
      <c r="E377" s="316" t="s">
        <v>51</v>
      </c>
      <c r="F377" s="322">
        <v>1162197</v>
      </c>
      <c r="G377" s="243">
        <f t="shared" si="18"/>
        <v>1162197</v>
      </c>
      <c r="H377" s="244">
        <f t="shared" si="19"/>
        <v>0</v>
      </c>
    </row>
    <row r="378" spans="4:8" ht="15">
      <c r="D378" s="316">
        <v>2330</v>
      </c>
      <c r="E378" s="316" t="s">
        <v>52</v>
      </c>
      <c r="F378" s="322">
        <v>367333</v>
      </c>
      <c r="G378" s="243">
        <f t="shared" si="18"/>
        <v>367333</v>
      </c>
      <c r="H378" s="244">
        <f t="shared" si="19"/>
        <v>0</v>
      </c>
    </row>
    <row r="379" spans="4:8" ht="15">
      <c r="D379" s="316">
        <v>2380</v>
      </c>
      <c r="E379" s="316" t="s">
        <v>53</v>
      </c>
      <c r="F379" s="322">
        <v>72537</v>
      </c>
      <c r="G379" s="243">
        <f t="shared" si="18"/>
        <v>72537</v>
      </c>
      <c r="H379" s="244">
        <f t="shared" si="19"/>
        <v>0</v>
      </c>
    </row>
    <row r="380" spans="4:8" ht="15">
      <c r="D380" s="316">
        <v>2400</v>
      </c>
      <c r="E380" s="316" t="s">
        <v>54</v>
      </c>
      <c r="F380" s="322">
        <v>2042598</v>
      </c>
      <c r="G380" s="243">
        <f t="shared" si="18"/>
        <v>2042598</v>
      </c>
      <c r="H380" s="244">
        <f t="shared" si="19"/>
        <v>0</v>
      </c>
    </row>
    <row r="381" spans="4:8" ht="15">
      <c r="D381" s="316">
        <v>2410</v>
      </c>
      <c r="E381" s="316" t="s">
        <v>55</v>
      </c>
      <c r="F381" s="322">
        <v>203269</v>
      </c>
      <c r="G381" s="243">
        <f t="shared" si="18"/>
        <v>203269</v>
      </c>
      <c r="H381" s="244">
        <f t="shared" si="19"/>
        <v>0</v>
      </c>
    </row>
    <row r="382" spans="4:8" ht="15">
      <c r="D382" s="316">
        <v>2500</v>
      </c>
      <c r="E382" s="316" t="s">
        <v>56</v>
      </c>
      <c r="F382" s="322">
        <v>37323</v>
      </c>
      <c r="G382" s="243">
        <f t="shared" si="18"/>
        <v>37323</v>
      </c>
      <c r="H382" s="244">
        <f t="shared" si="19"/>
        <v>0</v>
      </c>
    </row>
    <row r="383" spans="4:8" ht="15">
      <c r="D383" s="316">
        <v>2550</v>
      </c>
      <c r="E383" s="316" t="s">
        <v>57</v>
      </c>
      <c r="F383" s="322">
        <v>138774</v>
      </c>
      <c r="G383" s="243">
        <f t="shared" si="18"/>
        <v>138774</v>
      </c>
      <c r="H383" s="244">
        <f t="shared" si="19"/>
        <v>0</v>
      </c>
    </row>
    <row r="384" spans="4:8" ht="15">
      <c r="D384" s="316">
        <v>2570</v>
      </c>
      <c r="E384" s="316" t="s">
        <v>58</v>
      </c>
      <c r="F384" s="322">
        <v>87845</v>
      </c>
      <c r="G384" s="243">
        <f t="shared" si="18"/>
        <v>87845</v>
      </c>
      <c r="H384" s="244">
        <f t="shared" si="19"/>
        <v>0</v>
      </c>
    </row>
    <row r="385" spans="4:8" ht="15">
      <c r="D385" s="316">
        <v>2620</v>
      </c>
      <c r="E385" s="316" t="s">
        <v>59</v>
      </c>
      <c r="F385" s="322">
        <v>916628</v>
      </c>
      <c r="G385" s="243">
        <f t="shared" si="18"/>
        <v>916628</v>
      </c>
      <c r="H385" s="244">
        <f t="shared" si="19"/>
        <v>0</v>
      </c>
    </row>
    <row r="386" spans="4:8" ht="15">
      <c r="D386" s="316">
        <v>2630</v>
      </c>
      <c r="E386" s="316" t="s">
        <v>60</v>
      </c>
      <c r="F386" s="322">
        <v>657740</v>
      </c>
      <c r="G386" s="243">
        <f t="shared" si="18"/>
        <v>657740</v>
      </c>
      <c r="H386" s="244">
        <f t="shared" si="19"/>
        <v>0</v>
      </c>
    </row>
    <row r="387" spans="4:8" ht="15">
      <c r="D387" s="316">
        <v>2690</v>
      </c>
      <c r="E387" s="316" t="s">
        <v>61</v>
      </c>
      <c r="F387" s="322">
        <v>1714719</v>
      </c>
      <c r="G387" s="243">
        <f t="shared" si="18"/>
        <v>1714719</v>
      </c>
      <c r="H387" s="244">
        <f t="shared" si="19"/>
        <v>0</v>
      </c>
    </row>
    <row r="388" spans="4:8" ht="15">
      <c r="D388" s="316">
        <v>2710</v>
      </c>
      <c r="E388" s="316" t="s">
        <v>62</v>
      </c>
      <c r="F388" s="322">
        <v>16247</v>
      </c>
      <c r="G388" s="243">
        <f t="shared" si="18"/>
        <v>16247</v>
      </c>
      <c r="H388" s="244">
        <f t="shared" si="19"/>
        <v>0</v>
      </c>
    </row>
    <row r="389" spans="4:8" ht="15">
      <c r="D389" s="316">
        <v>2730</v>
      </c>
      <c r="E389" s="316" t="s">
        <v>63</v>
      </c>
      <c r="F389" s="322">
        <v>140393</v>
      </c>
      <c r="G389" s="243">
        <f t="shared" ref="G389:G452" si="20">VLOOKUP(D389,$A$9:$C$314,3,FALSE)</f>
        <v>140393</v>
      </c>
      <c r="H389" s="244">
        <f t="shared" si="19"/>
        <v>0</v>
      </c>
    </row>
    <row r="390" spans="4:8" ht="15">
      <c r="D390" s="316">
        <v>2950</v>
      </c>
      <c r="E390" s="316" t="s">
        <v>64</v>
      </c>
      <c r="F390" s="322">
        <v>102978</v>
      </c>
      <c r="G390" s="243">
        <f t="shared" si="20"/>
        <v>102978</v>
      </c>
      <c r="H390" s="244">
        <f t="shared" ref="H390:H453" si="21">+F390-G390</f>
        <v>0</v>
      </c>
    </row>
    <row r="391" spans="4:8" ht="15">
      <c r="D391" s="316">
        <v>2760</v>
      </c>
      <c r="E391" s="316" t="s">
        <v>65</v>
      </c>
      <c r="F391" s="322">
        <v>86516</v>
      </c>
      <c r="G391" s="243">
        <f t="shared" si="20"/>
        <v>86516</v>
      </c>
      <c r="H391" s="244">
        <f t="shared" si="21"/>
        <v>0</v>
      </c>
    </row>
    <row r="392" spans="4:8" ht="15">
      <c r="D392" s="316">
        <v>2780</v>
      </c>
      <c r="E392" s="316" t="s">
        <v>66</v>
      </c>
      <c r="F392" s="322">
        <v>7518</v>
      </c>
      <c r="G392" s="243">
        <f t="shared" si="20"/>
        <v>7518</v>
      </c>
      <c r="H392" s="244">
        <f t="shared" si="21"/>
        <v>0</v>
      </c>
    </row>
    <row r="393" spans="4:8" ht="15">
      <c r="D393" s="316">
        <v>2810</v>
      </c>
      <c r="E393" s="316" t="s">
        <v>67</v>
      </c>
      <c r="F393" s="322">
        <v>67041</v>
      </c>
      <c r="G393" s="243">
        <f t="shared" si="20"/>
        <v>67041</v>
      </c>
      <c r="H393" s="244">
        <f t="shared" si="21"/>
        <v>0</v>
      </c>
    </row>
    <row r="394" spans="4:8" ht="15">
      <c r="D394" s="316">
        <v>18056</v>
      </c>
      <c r="E394" s="316" t="s">
        <v>68</v>
      </c>
      <c r="F394" s="322">
        <v>85826</v>
      </c>
      <c r="G394" s="243">
        <f t="shared" si="20"/>
        <v>85826</v>
      </c>
      <c r="H394" s="244">
        <f t="shared" si="21"/>
        <v>0</v>
      </c>
    </row>
    <row r="395" spans="4:8" ht="15">
      <c r="D395" s="316">
        <v>15047</v>
      </c>
      <c r="E395" s="316" t="s">
        <v>69</v>
      </c>
      <c r="F395" s="322">
        <v>77725</v>
      </c>
      <c r="G395" s="243">
        <f t="shared" si="20"/>
        <v>77725</v>
      </c>
      <c r="H395" s="244">
        <f t="shared" si="21"/>
        <v>0</v>
      </c>
    </row>
    <row r="396" spans="4:8" ht="15">
      <c r="D396" s="316">
        <v>5012</v>
      </c>
      <c r="E396" s="316" t="s">
        <v>70</v>
      </c>
      <c r="F396" s="322">
        <v>1346099</v>
      </c>
      <c r="G396" s="243">
        <f t="shared" si="20"/>
        <v>1346099</v>
      </c>
      <c r="H396" s="244">
        <f t="shared" si="21"/>
        <v>0</v>
      </c>
    </row>
    <row r="397" spans="4:8" ht="15">
      <c r="D397" s="316">
        <v>8024</v>
      </c>
      <c r="E397" s="316" t="s">
        <v>71</v>
      </c>
      <c r="F397" s="322">
        <v>253811</v>
      </c>
      <c r="G397" s="243">
        <f t="shared" si="20"/>
        <v>253811</v>
      </c>
      <c r="H397" s="244">
        <f t="shared" si="21"/>
        <v>0</v>
      </c>
    </row>
    <row r="398" spans="4:8" ht="15">
      <c r="D398" s="316">
        <v>3050</v>
      </c>
      <c r="E398" s="316" t="s">
        <v>72</v>
      </c>
      <c r="F398" s="322">
        <v>94465</v>
      </c>
      <c r="G398" s="243">
        <f t="shared" si="20"/>
        <v>94465</v>
      </c>
      <c r="H398" s="244">
        <f t="shared" si="21"/>
        <v>0</v>
      </c>
    </row>
    <row r="399" spans="4:8" ht="15">
      <c r="D399" s="316">
        <v>2421</v>
      </c>
      <c r="E399" s="316" t="s">
        <v>73</v>
      </c>
      <c r="F399" s="322">
        <v>31066</v>
      </c>
      <c r="G399" s="243">
        <f t="shared" si="20"/>
        <v>31066</v>
      </c>
      <c r="H399" s="244">
        <f t="shared" si="21"/>
        <v>0</v>
      </c>
    </row>
    <row r="400" spans="4:8" ht="15">
      <c r="D400" s="316">
        <v>26079</v>
      </c>
      <c r="E400" s="316" t="s">
        <v>74</v>
      </c>
      <c r="F400" s="322">
        <v>33012</v>
      </c>
      <c r="G400" s="243">
        <f t="shared" si="20"/>
        <v>33012</v>
      </c>
      <c r="H400" s="244">
        <f t="shared" si="21"/>
        <v>0</v>
      </c>
    </row>
    <row r="401" spans="4:8" ht="15">
      <c r="D401" s="316">
        <v>2363</v>
      </c>
      <c r="E401" s="316" t="s">
        <v>75</v>
      </c>
      <c r="F401" s="322">
        <v>37522</v>
      </c>
      <c r="G401" s="243">
        <f t="shared" si="20"/>
        <v>37522</v>
      </c>
      <c r="H401" s="244">
        <f t="shared" si="21"/>
        <v>0</v>
      </c>
    </row>
    <row r="402" spans="4:8" ht="15">
      <c r="D402" s="316">
        <v>2364</v>
      </c>
      <c r="E402" s="316" t="s">
        <v>76</v>
      </c>
      <c r="F402" s="322">
        <v>122219</v>
      </c>
      <c r="G402" s="243">
        <f t="shared" si="20"/>
        <v>122219</v>
      </c>
      <c r="H402" s="244">
        <f t="shared" si="21"/>
        <v>0</v>
      </c>
    </row>
    <row r="403" spans="4:8" ht="15">
      <c r="D403" s="316">
        <v>25319</v>
      </c>
      <c r="E403" s="316" t="s">
        <v>77</v>
      </c>
      <c r="F403" s="322">
        <v>24519</v>
      </c>
      <c r="G403" s="243">
        <f t="shared" si="20"/>
        <v>24519</v>
      </c>
      <c r="H403" s="244">
        <f t="shared" si="21"/>
        <v>0</v>
      </c>
    </row>
    <row r="404" spans="4:8" ht="15">
      <c r="D404" s="316">
        <v>29087</v>
      </c>
      <c r="E404" s="316" t="s">
        <v>78</v>
      </c>
      <c r="F404" s="322">
        <v>245047</v>
      </c>
      <c r="G404" s="243">
        <f t="shared" si="20"/>
        <v>245047</v>
      </c>
      <c r="H404" s="244">
        <f t="shared" si="21"/>
        <v>0</v>
      </c>
    </row>
    <row r="405" spans="4:8" ht="15">
      <c r="D405" s="316">
        <v>3060</v>
      </c>
      <c r="E405" s="316" t="s">
        <v>79</v>
      </c>
      <c r="F405" s="322">
        <v>142374</v>
      </c>
      <c r="G405" s="243">
        <f t="shared" si="20"/>
        <v>142374</v>
      </c>
      <c r="H405" s="244">
        <f t="shared" si="21"/>
        <v>0</v>
      </c>
    </row>
    <row r="406" spans="4:8" ht="15">
      <c r="D406" s="316">
        <v>19301</v>
      </c>
      <c r="E406" s="316" t="s">
        <v>80</v>
      </c>
      <c r="F406" s="322">
        <v>28023</v>
      </c>
      <c r="G406" s="243">
        <f t="shared" si="20"/>
        <v>28023</v>
      </c>
      <c r="H406" s="244">
        <f t="shared" si="21"/>
        <v>0</v>
      </c>
    </row>
    <row r="407" spans="4:8" ht="15">
      <c r="D407" s="316">
        <v>19059</v>
      </c>
      <c r="E407" s="316" t="s">
        <v>81</v>
      </c>
      <c r="F407" s="322">
        <v>896118</v>
      </c>
      <c r="G407" s="243">
        <f t="shared" si="20"/>
        <v>896118</v>
      </c>
      <c r="H407" s="244">
        <f t="shared" si="21"/>
        <v>0</v>
      </c>
    </row>
    <row r="408" spans="4:8" ht="15">
      <c r="D408" s="316">
        <v>18057</v>
      </c>
      <c r="E408" s="316" t="s">
        <v>82</v>
      </c>
      <c r="F408" s="322">
        <v>37980</v>
      </c>
      <c r="G408" s="243">
        <f t="shared" si="20"/>
        <v>37980</v>
      </c>
      <c r="H408" s="244">
        <f t="shared" si="21"/>
        <v>0</v>
      </c>
    </row>
    <row r="409" spans="4:8" ht="15">
      <c r="D409" s="316">
        <v>4008</v>
      </c>
      <c r="E409" s="316" t="s">
        <v>83</v>
      </c>
      <c r="F409" s="322">
        <v>149824</v>
      </c>
      <c r="G409" s="243">
        <f t="shared" si="20"/>
        <v>149824</v>
      </c>
      <c r="H409" s="244">
        <f t="shared" si="21"/>
        <v>0</v>
      </c>
    </row>
    <row r="410" spans="4:8" ht="15">
      <c r="D410" s="316">
        <v>2350</v>
      </c>
      <c r="E410" s="316" t="s">
        <v>84</v>
      </c>
      <c r="F410" s="322">
        <v>49318</v>
      </c>
      <c r="G410" s="243">
        <f t="shared" si="20"/>
        <v>49318</v>
      </c>
      <c r="H410" s="244">
        <f t="shared" si="21"/>
        <v>0</v>
      </c>
    </row>
    <row r="411" spans="4:8" ht="15">
      <c r="D411" s="316">
        <v>11117</v>
      </c>
      <c r="E411" s="316" t="s">
        <v>85</v>
      </c>
      <c r="F411" s="322">
        <v>47180</v>
      </c>
      <c r="G411" s="243">
        <f t="shared" si="20"/>
        <v>47180</v>
      </c>
      <c r="H411" s="244">
        <f t="shared" si="21"/>
        <v>0</v>
      </c>
    </row>
    <row r="412" spans="4:8" ht="15">
      <c r="D412" s="316">
        <v>16359</v>
      </c>
      <c r="E412" s="316" t="s">
        <v>86</v>
      </c>
      <c r="F412" s="322">
        <v>10251</v>
      </c>
      <c r="G412" s="243">
        <f t="shared" si="20"/>
        <v>10251</v>
      </c>
      <c r="H412" s="244">
        <f t="shared" si="21"/>
        <v>0</v>
      </c>
    </row>
    <row r="413" spans="4:8" ht="15">
      <c r="D413" s="316">
        <v>17115</v>
      </c>
      <c r="E413" s="316" t="s">
        <v>87</v>
      </c>
      <c r="F413" s="322">
        <v>182311</v>
      </c>
      <c r="G413" s="243">
        <f t="shared" si="20"/>
        <v>182311</v>
      </c>
      <c r="H413" s="244">
        <f t="shared" si="21"/>
        <v>0</v>
      </c>
    </row>
    <row r="414" spans="4:8" ht="15">
      <c r="D414" s="316">
        <v>32117</v>
      </c>
      <c r="E414" s="316" t="s">
        <v>88</v>
      </c>
      <c r="F414" s="322">
        <v>14595</v>
      </c>
      <c r="G414" s="243">
        <f t="shared" si="20"/>
        <v>14595</v>
      </c>
      <c r="H414" s="244">
        <f t="shared" si="21"/>
        <v>0</v>
      </c>
    </row>
    <row r="415" spans="4:8" ht="15">
      <c r="D415" s="316">
        <v>2304</v>
      </c>
      <c r="E415" s="316" t="s">
        <v>89</v>
      </c>
      <c r="F415" s="322">
        <v>64587</v>
      </c>
      <c r="G415" s="243">
        <f t="shared" si="20"/>
        <v>64587</v>
      </c>
      <c r="H415" s="244">
        <f t="shared" si="21"/>
        <v>0</v>
      </c>
    </row>
    <row r="416" spans="4:8" ht="15">
      <c r="D416" s="316">
        <v>11101</v>
      </c>
      <c r="E416" s="316" t="s">
        <v>91</v>
      </c>
      <c r="F416" s="322">
        <v>745644</v>
      </c>
      <c r="G416" s="243">
        <f t="shared" si="20"/>
        <v>745644</v>
      </c>
      <c r="H416" s="244">
        <f t="shared" si="21"/>
        <v>0</v>
      </c>
    </row>
    <row r="417" spans="4:8" ht="15">
      <c r="D417" s="316">
        <v>11102</v>
      </c>
      <c r="E417" s="316" t="s">
        <v>90</v>
      </c>
      <c r="F417" s="322">
        <v>259029</v>
      </c>
      <c r="G417" s="243">
        <f t="shared" si="20"/>
        <v>259029</v>
      </c>
      <c r="H417" s="244">
        <f t="shared" si="21"/>
        <v>0</v>
      </c>
    </row>
    <row r="418" spans="4:8" ht="15">
      <c r="D418" s="316">
        <v>3100</v>
      </c>
      <c r="E418" s="316" t="s">
        <v>92</v>
      </c>
      <c r="F418" s="322">
        <v>530191</v>
      </c>
      <c r="G418" s="243">
        <f t="shared" si="20"/>
        <v>530191</v>
      </c>
      <c r="H418" s="244">
        <f t="shared" si="21"/>
        <v>0</v>
      </c>
    </row>
    <row r="419" spans="4:8" ht="15">
      <c r="D419" s="316">
        <v>2323</v>
      </c>
      <c r="E419" s="316" t="s">
        <v>93</v>
      </c>
      <c r="F419" s="322">
        <v>52366</v>
      </c>
      <c r="G419" s="243">
        <f t="shared" si="20"/>
        <v>52366</v>
      </c>
      <c r="H419" s="244">
        <f t="shared" si="21"/>
        <v>0</v>
      </c>
    </row>
    <row r="420" spans="4:8" ht="15">
      <c r="D420" s="316">
        <v>11034</v>
      </c>
      <c r="E420" s="316" t="s">
        <v>94</v>
      </c>
      <c r="F420" s="322">
        <v>40615</v>
      </c>
      <c r="G420" s="243">
        <f t="shared" si="20"/>
        <v>40615</v>
      </c>
      <c r="H420" s="244">
        <f t="shared" si="21"/>
        <v>0</v>
      </c>
    </row>
    <row r="421" spans="4:8" ht="15">
      <c r="D421" s="316">
        <v>17054</v>
      </c>
      <c r="E421" s="316" t="s">
        <v>95</v>
      </c>
      <c r="F421" s="322">
        <v>545339</v>
      </c>
      <c r="G421" s="243">
        <f t="shared" si="20"/>
        <v>545339</v>
      </c>
      <c r="H421" s="244">
        <f t="shared" si="21"/>
        <v>0</v>
      </c>
    </row>
    <row r="422" spans="4:8" ht="15">
      <c r="D422" s="316">
        <v>22065</v>
      </c>
      <c r="E422" s="316" t="s">
        <v>96</v>
      </c>
      <c r="F422" s="322">
        <v>139448</v>
      </c>
      <c r="G422" s="243">
        <f t="shared" si="20"/>
        <v>139448</v>
      </c>
      <c r="H422" s="244">
        <f t="shared" si="21"/>
        <v>0</v>
      </c>
    </row>
    <row r="423" spans="4:8" ht="15">
      <c r="D423" s="316">
        <v>22201</v>
      </c>
      <c r="E423" s="320" t="s">
        <v>97</v>
      </c>
      <c r="F423" s="322">
        <v>81884</v>
      </c>
      <c r="G423" s="243">
        <f t="shared" si="20"/>
        <v>81884</v>
      </c>
      <c r="H423" s="244">
        <f t="shared" si="21"/>
        <v>0</v>
      </c>
    </row>
    <row r="424" spans="4:8" ht="15">
      <c r="D424" s="316">
        <v>6016</v>
      </c>
      <c r="E424" s="316" t="s">
        <v>98</v>
      </c>
      <c r="F424" s="322">
        <v>133949</v>
      </c>
      <c r="G424" s="243">
        <f t="shared" si="20"/>
        <v>133949</v>
      </c>
      <c r="H424" s="244">
        <f t="shared" si="21"/>
        <v>0</v>
      </c>
    </row>
    <row r="425" spans="4:8" ht="15">
      <c r="D425" s="316">
        <v>2432</v>
      </c>
      <c r="E425" s="316" t="s">
        <v>99</v>
      </c>
      <c r="F425" s="322">
        <v>212886</v>
      </c>
      <c r="G425" s="243">
        <f t="shared" si="20"/>
        <v>212886</v>
      </c>
      <c r="H425" s="244">
        <f t="shared" si="21"/>
        <v>0</v>
      </c>
    </row>
    <row r="426" spans="4:8" ht="15">
      <c r="D426" s="316">
        <v>7440</v>
      </c>
      <c r="E426" s="316" t="s">
        <v>447</v>
      </c>
      <c r="F426" s="322">
        <v>48074</v>
      </c>
      <c r="G426" s="243">
        <f t="shared" si="20"/>
        <v>48074</v>
      </c>
      <c r="H426" s="244">
        <f t="shared" si="21"/>
        <v>0</v>
      </c>
    </row>
    <row r="427" spans="4:8" ht="15">
      <c r="D427" s="191">
        <v>29125</v>
      </c>
      <c r="E427" s="316" t="s">
        <v>483</v>
      </c>
      <c r="F427" s="322">
        <v>32919</v>
      </c>
      <c r="G427" s="243">
        <f t="shared" si="20"/>
        <v>32919</v>
      </c>
      <c r="H427" s="244">
        <f t="shared" si="21"/>
        <v>0</v>
      </c>
    </row>
    <row r="428" spans="4:8" ht="15">
      <c r="D428" s="316">
        <v>16052</v>
      </c>
      <c r="E428" s="316" t="s">
        <v>100</v>
      </c>
      <c r="F428" s="322">
        <v>1679563</v>
      </c>
      <c r="G428" s="243">
        <f t="shared" si="20"/>
        <v>1679563</v>
      </c>
      <c r="H428" s="244">
        <f t="shared" si="21"/>
        <v>0</v>
      </c>
    </row>
    <row r="429" spans="4:8" ht="15">
      <c r="D429" s="316">
        <v>11118</v>
      </c>
      <c r="E429" s="316" t="s">
        <v>101</v>
      </c>
      <c r="F429" s="322">
        <v>45706</v>
      </c>
      <c r="G429" s="243">
        <f t="shared" si="20"/>
        <v>45706</v>
      </c>
      <c r="H429" s="244">
        <f t="shared" si="21"/>
        <v>0</v>
      </c>
    </row>
    <row r="430" spans="4:8" ht="15">
      <c r="D430" s="316">
        <v>27083</v>
      </c>
      <c r="E430" s="316" t="s">
        <v>102</v>
      </c>
      <c r="F430" s="322">
        <v>61087</v>
      </c>
      <c r="G430" s="243">
        <f t="shared" si="20"/>
        <v>61087</v>
      </c>
      <c r="H430" s="244">
        <f t="shared" si="21"/>
        <v>0</v>
      </c>
    </row>
    <row r="431" spans="4:8" ht="15">
      <c r="D431" s="316">
        <v>7021</v>
      </c>
      <c r="E431" s="316" t="s">
        <v>103</v>
      </c>
      <c r="F431" s="322">
        <v>2219111</v>
      </c>
      <c r="G431" s="243">
        <f t="shared" si="20"/>
        <v>2219111</v>
      </c>
      <c r="H431" s="244">
        <f t="shared" si="21"/>
        <v>0</v>
      </c>
    </row>
    <row r="432" spans="4:8" ht="15">
      <c r="D432" s="316">
        <v>4140</v>
      </c>
      <c r="E432" s="316" t="s">
        <v>104</v>
      </c>
      <c r="F432" s="322">
        <v>15055</v>
      </c>
      <c r="G432" s="243">
        <f t="shared" si="20"/>
        <v>15055</v>
      </c>
      <c r="H432" s="244">
        <f t="shared" si="21"/>
        <v>0</v>
      </c>
    </row>
    <row r="433" spans="4:8" ht="15">
      <c r="D433" s="316">
        <v>13041</v>
      </c>
      <c r="E433" s="316" t="s">
        <v>105</v>
      </c>
      <c r="F433" s="322">
        <v>2043639</v>
      </c>
      <c r="G433" s="243">
        <f t="shared" si="20"/>
        <v>2043639</v>
      </c>
      <c r="H433" s="244">
        <f t="shared" si="21"/>
        <v>0</v>
      </c>
    </row>
    <row r="434" spans="4:8" ht="15">
      <c r="D434" s="316">
        <v>2339</v>
      </c>
      <c r="E434" s="316" t="s">
        <v>106</v>
      </c>
      <c r="F434" s="322">
        <v>30031</v>
      </c>
      <c r="G434" s="243">
        <f t="shared" si="20"/>
        <v>30031</v>
      </c>
      <c r="H434" s="244">
        <f t="shared" si="21"/>
        <v>0</v>
      </c>
    </row>
    <row r="435" spans="4:8" ht="15">
      <c r="D435" s="316">
        <v>2362</v>
      </c>
      <c r="E435" s="316" t="s">
        <v>107</v>
      </c>
      <c r="F435" s="322">
        <v>33460</v>
      </c>
      <c r="G435" s="243">
        <f t="shared" si="20"/>
        <v>33460</v>
      </c>
      <c r="H435" s="244">
        <f t="shared" si="21"/>
        <v>0</v>
      </c>
    </row>
    <row r="436" spans="4:8" ht="15">
      <c r="D436" s="316">
        <v>5013</v>
      </c>
      <c r="E436" s="316" t="s">
        <v>108</v>
      </c>
      <c r="F436" s="322">
        <v>36064</v>
      </c>
      <c r="G436" s="243">
        <f t="shared" si="20"/>
        <v>36064</v>
      </c>
      <c r="H436" s="244">
        <f t="shared" si="21"/>
        <v>0</v>
      </c>
    </row>
    <row r="437" spans="4:8" ht="15">
      <c r="D437" s="316">
        <v>3110</v>
      </c>
      <c r="E437" s="316" t="s">
        <v>109</v>
      </c>
      <c r="F437" s="322">
        <v>159124</v>
      </c>
      <c r="G437" s="243">
        <f t="shared" si="20"/>
        <v>159124</v>
      </c>
      <c r="H437" s="244">
        <f t="shared" si="21"/>
        <v>0</v>
      </c>
    </row>
    <row r="438" spans="4:8" ht="15">
      <c r="D438" s="316">
        <v>14044</v>
      </c>
      <c r="E438" s="316" t="s">
        <v>110</v>
      </c>
      <c r="F438" s="322">
        <v>619311</v>
      </c>
      <c r="G438" s="243">
        <f t="shared" si="20"/>
        <v>619311</v>
      </c>
      <c r="H438" s="244">
        <f t="shared" si="21"/>
        <v>0</v>
      </c>
    </row>
    <row r="439" spans="4:8" ht="15">
      <c r="D439" s="316">
        <v>4009</v>
      </c>
      <c r="E439" s="316" t="s">
        <v>111</v>
      </c>
      <c r="F439" s="322">
        <v>81672</v>
      </c>
      <c r="G439" s="243">
        <f t="shared" si="20"/>
        <v>81672</v>
      </c>
      <c r="H439" s="244">
        <f t="shared" si="21"/>
        <v>0</v>
      </c>
    </row>
    <row r="440" spans="4:8" ht="15">
      <c r="D440" s="316">
        <v>7022</v>
      </c>
      <c r="E440" s="316" t="s">
        <v>112</v>
      </c>
      <c r="F440" s="322">
        <v>231009</v>
      </c>
      <c r="G440" s="243">
        <f t="shared" si="20"/>
        <v>231009</v>
      </c>
      <c r="H440" s="244">
        <f t="shared" si="21"/>
        <v>0</v>
      </c>
    </row>
    <row r="441" spans="4:8" ht="15">
      <c r="D441" s="316">
        <v>2430</v>
      </c>
      <c r="E441" s="316" t="s">
        <v>113</v>
      </c>
      <c r="F441" s="322">
        <v>29787</v>
      </c>
      <c r="G441" s="243">
        <f t="shared" si="20"/>
        <v>29787</v>
      </c>
      <c r="H441" s="244">
        <f t="shared" si="21"/>
        <v>0</v>
      </c>
    </row>
    <row r="442" spans="4:8" ht="15">
      <c r="D442" s="316">
        <v>9150</v>
      </c>
      <c r="E442" s="316" t="s">
        <v>114</v>
      </c>
      <c r="F442" s="322">
        <v>16705</v>
      </c>
      <c r="G442" s="243">
        <f t="shared" si="20"/>
        <v>16705</v>
      </c>
      <c r="H442" s="244">
        <f t="shared" si="21"/>
        <v>0</v>
      </c>
    </row>
    <row r="443" spans="4:8" ht="15">
      <c r="D443" s="316">
        <v>6017</v>
      </c>
      <c r="E443" s="316" t="s">
        <v>115</v>
      </c>
      <c r="F443" s="322">
        <v>1601183</v>
      </c>
      <c r="G443" s="243">
        <f t="shared" si="20"/>
        <v>1601183</v>
      </c>
      <c r="H443" s="244">
        <f t="shared" si="21"/>
        <v>0</v>
      </c>
    </row>
    <row r="444" spans="4:8" ht="15">
      <c r="D444" s="316">
        <v>26080</v>
      </c>
      <c r="E444" s="318" t="s">
        <v>116</v>
      </c>
      <c r="F444" s="322">
        <v>47414</v>
      </c>
      <c r="G444" s="243">
        <f t="shared" si="20"/>
        <v>47414</v>
      </c>
      <c r="H444" s="244">
        <f t="shared" si="21"/>
        <v>0</v>
      </c>
    </row>
    <row r="445" spans="4:8" ht="15">
      <c r="D445" s="316">
        <v>2327</v>
      </c>
      <c r="E445" s="316" t="s">
        <v>117</v>
      </c>
      <c r="F445" s="322">
        <v>59232</v>
      </c>
      <c r="G445" s="243">
        <f t="shared" si="20"/>
        <v>59232</v>
      </c>
      <c r="H445" s="244">
        <f t="shared" si="21"/>
        <v>0</v>
      </c>
    </row>
    <row r="446" spans="4:8" ht="15">
      <c r="D446" s="316">
        <v>10119</v>
      </c>
      <c r="E446" s="316" t="s">
        <v>118</v>
      </c>
      <c r="F446" s="322">
        <v>27225</v>
      </c>
      <c r="G446" s="243">
        <f t="shared" si="20"/>
        <v>27225</v>
      </c>
      <c r="H446" s="244">
        <f t="shared" si="21"/>
        <v>0</v>
      </c>
    </row>
    <row r="447" spans="4:8" ht="15">
      <c r="D447" s="316">
        <v>573</v>
      </c>
      <c r="E447" s="316" t="s">
        <v>399</v>
      </c>
      <c r="F447" s="322">
        <v>139317</v>
      </c>
      <c r="G447" s="243">
        <f t="shared" si="20"/>
        <v>139317</v>
      </c>
      <c r="H447" s="244">
        <f t="shared" si="21"/>
        <v>0</v>
      </c>
    </row>
    <row r="448" spans="4:8" ht="15">
      <c r="D448" s="316">
        <v>2368</v>
      </c>
      <c r="E448" s="316" t="s">
        <v>119</v>
      </c>
      <c r="F448" s="322">
        <v>57335</v>
      </c>
      <c r="G448" s="243">
        <f t="shared" si="20"/>
        <v>57335</v>
      </c>
      <c r="H448" s="244">
        <f t="shared" si="21"/>
        <v>0</v>
      </c>
    </row>
    <row r="449" spans="4:8" ht="15">
      <c r="D449" s="316">
        <v>7420</v>
      </c>
      <c r="E449" s="316" t="s">
        <v>120</v>
      </c>
      <c r="F449" s="322">
        <v>34442</v>
      </c>
      <c r="G449" s="243">
        <f t="shared" si="20"/>
        <v>34442</v>
      </c>
      <c r="H449" s="244">
        <f t="shared" si="21"/>
        <v>0</v>
      </c>
    </row>
    <row r="450" spans="4:8" ht="15">
      <c r="D450" s="316">
        <v>6018</v>
      </c>
      <c r="E450" s="316" t="s">
        <v>121</v>
      </c>
      <c r="F450" s="322">
        <v>116952</v>
      </c>
      <c r="G450" s="243">
        <f t="shared" si="20"/>
        <v>116952</v>
      </c>
      <c r="H450" s="244">
        <f t="shared" si="21"/>
        <v>0</v>
      </c>
    </row>
    <row r="451" spans="4:8" ht="15">
      <c r="D451" s="316">
        <v>3321</v>
      </c>
      <c r="E451" s="316" t="s">
        <v>122</v>
      </c>
      <c r="F451" s="322">
        <v>34845</v>
      </c>
      <c r="G451" s="243">
        <f t="shared" si="20"/>
        <v>34845</v>
      </c>
      <c r="H451" s="244">
        <f t="shared" si="21"/>
        <v>0</v>
      </c>
    </row>
    <row r="452" spans="4:8" ht="15">
      <c r="D452" s="316">
        <v>29122</v>
      </c>
      <c r="E452" s="316" t="s">
        <v>123</v>
      </c>
      <c r="F452" s="322">
        <v>45044</v>
      </c>
      <c r="G452" s="243">
        <f t="shared" si="20"/>
        <v>45044</v>
      </c>
      <c r="H452" s="244">
        <f t="shared" si="21"/>
        <v>0</v>
      </c>
    </row>
    <row r="453" spans="4:8" ht="15">
      <c r="D453" s="316">
        <v>29088</v>
      </c>
      <c r="E453" s="316" t="s">
        <v>124</v>
      </c>
      <c r="F453" s="322">
        <v>67305</v>
      </c>
      <c r="G453" s="243">
        <f t="shared" ref="G453:G516" si="22">VLOOKUP(D453,$A$9:$C$314,3,FALSE)</f>
        <v>67305</v>
      </c>
      <c r="H453" s="244">
        <f t="shared" si="21"/>
        <v>0</v>
      </c>
    </row>
    <row r="454" spans="4:8" ht="15">
      <c r="D454" s="316">
        <v>7337</v>
      </c>
      <c r="E454" s="316" t="s">
        <v>125</v>
      </c>
      <c r="F454" s="322">
        <v>13352</v>
      </c>
      <c r="G454" s="243">
        <f t="shared" si="22"/>
        <v>13352</v>
      </c>
      <c r="H454" s="244">
        <f t="shared" ref="H454:H517" si="23">+F454-G454</f>
        <v>0</v>
      </c>
    </row>
    <row r="455" spans="4:8" ht="15">
      <c r="D455" s="316">
        <v>2329</v>
      </c>
      <c r="E455" s="318" t="s">
        <v>126</v>
      </c>
      <c r="F455" s="322">
        <v>45591</v>
      </c>
      <c r="G455" s="243">
        <f t="shared" si="22"/>
        <v>45591</v>
      </c>
      <c r="H455" s="244">
        <f t="shared" si="23"/>
        <v>0</v>
      </c>
    </row>
    <row r="456" spans="4:8" ht="15">
      <c r="D456" s="316">
        <v>4010</v>
      </c>
      <c r="E456" s="316" t="s">
        <v>129</v>
      </c>
      <c r="F456" s="322">
        <v>37816</v>
      </c>
      <c r="G456" s="243">
        <f t="shared" si="22"/>
        <v>37816</v>
      </c>
      <c r="H456" s="244">
        <f t="shared" si="23"/>
        <v>0</v>
      </c>
    </row>
    <row r="457" spans="4:8" ht="15">
      <c r="D457" s="316">
        <v>7023</v>
      </c>
      <c r="E457" s="316" t="s">
        <v>421</v>
      </c>
      <c r="F457" s="322">
        <v>4206257</v>
      </c>
      <c r="G457" s="243">
        <f t="shared" si="22"/>
        <v>4206257</v>
      </c>
      <c r="H457" s="244">
        <f t="shared" si="23"/>
        <v>0</v>
      </c>
    </row>
    <row r="458" spans="4:8" ht="15">
      <c r="D458" s="316">
        <v>7338</v>
      </c>
      <c r="E458" s="316" t="s">
        <v>131</v>
      </c>
      <c r="F458" s="322">
        <v>30822</v>
      </c>
      <c r="G458" s="243">
        <f t="shared" si="22"/>
        <v>30822</v>
      </c>
      <c r="H458" s="244">
        <f t="shared" si="23"/>
        <v>0</v>
      </c>
    </row>
    <row r="459" spans="4:8" ht="15">
      <c r="D459" s="316">
        <v>12037</v>
      </c>
      <c r="E459" s="316" t="s">
        <v>132</v>
      </c>
      <c r="F459" s="322">
        <v>245347</v>
      </c>
      <c r="G459" s="243">
        <f t="shared" si="22"/>
        <v>245347</v>
      </c>
      <c r="H459" s="244">
        <f t="shared" si="23"/>
        <v>0</v>
      </c>
    </row>
    <row r="460" spans="4:8" ht="15">
      <c r="D460" s="316">
        <v>3150</v>
      </c>
      <c r="E460" s="316" t="s">
        <v>133</v>
      </c>
      <c r="F460" s="322">
        <v>551424</v>
      </c>
      <c r="G460" s="243">
        <f t="shared" si="22"/>
        <v>551424</v>
      </c>
      <c r="H460" s="244">
        <f t="shared" si="23"/>
        <v>0</v>
      </c>
    </row>
    <row r="461" spans="4:8" ht="15">
      <c r="D461" s="316">
        <v>3160</v>
      </c>
      <c r="E461" s="316" t="s">
        <v>134</v>
      </c>
      <c r="F461" s="322">
        <v>117995</v>
      </c>
      <c r="G461" s="243">
        <f t="shared" si="22"/>
        <v>117995</v>
      </c>
      <c r="H461" s="244">
        <f t="shared" si="23"/>
        <v>0</v>
      </c>
    </row>
    <row r="462" spans="4:8" ht="15">
      <c r="D462" s="316">
        <v>10120</v>
      </c>
      <c r="E462" s="316" t="s">
        <v>135</v>
      </c>
      <c r="F462" s="322">
        <v>57587</v>
      </c>
      <c r="G462" s="243">
        <f t="shared" si="22"/>
        <v>57587</v>
      </c>
      <c r="H462" s="244">
        <f t="shared" si="23"/>
        <v>0</v>
      </c>
    </row>
    <row r="463" spans="4:8" ht="15">
      <c r="D463" s="316">
        <v>23070</v>
      </c>
      <c r="E463" s="316" t="s">
        <v>136</v>
      </c>
      <c r="F463" s="322">
        <v>85337</v>
      </c>
      <c r="G463" s="243">
        <f t="shared" si="22"/>
        <v>85337</v>
      </c>
      <c r="H463" s="244">
        <f t="shared" si="23"/>
        <v>0</v>
      </c>
    </row>
    <row r="464" spans="4:8" ht="15">
      <c r="D464" s="316">
        <v>3170</v>
      </c>
      <c r="E464" s="316" t="s">
        <v>137</v>
      </c>
      <c r="F464" s="322">
        <v>1270705</v>
      </c>
      <c r="G464" s="243">
        <f t="shared" si="22"/>
        <v>1270705</v>
      </c>
      <c r="H464" s="244">
        <f t="shared" si="23"/>
        <v>0</v>
      </c>
    </row>
    <row r="465" spans="4:8" ht="15">
      <c r="D465" s="316">
        <v>32093</v>
      </c>
      <c r="E465" s="316" t="s">
        <v>138</v>
      </c>
      <c r="F465" s="322">
        <v>773102</v>
      </c>
      <c r="G465" s="243">
        <f t="shared" si="22"/>
        <v>773102</v>
      </c>
      <c r="H465" s="244">
        <f t="shared" si="23"/>
        <v>0</v>
      </c>
    </row>
    <row r="466" spans="4:8" ht="15">
      <c r="D466" s="316">
        <v>14045</v>
      </c>
      <c r="E466" s="316" t="s">
        <v>139</v>
      </c>
      <c r="F466" s="322">
        <v>1458267</v>
      </c>
      <c r="G466" s="243">
        <f t="shared" si="22"/>
        <v>1458267</v>
      </c>
      <c r="H466" s="244">
        <f t="shared" si="23"/>
        <v>0</v>
      </c>
    </row>
    <row r="467" spans="4:8" ht="15">
      <c r="D467" s="316">
        <v>2322</v>
      </c>
      <c r="E467" s="316" t="s">
        <v>140</v>
      </c>
      <c r="F467" s="322">
        <v>26101</v>
      </c>
      <c r="G467" s="243">
        <f t="shared" si="22"/>
        <v>26101</v>
      </c>
      <c r="H467" s="244">
        <f t="shared" si="23"/>
        <v>0</v>
      </c>
    </row>
    <row r="468" spans="4:8" ht="15">
      <c r="D468" s="316">
        <v>3006</v>
      </c>
      <c r="E468" s="316" t="s">
        <v>141</v>
      </c>
      <c r="F468" s="322">
        <v>114247</v>
      </c>
      <c r="G468" s="243">
        <f t="shared" si="22"/>
        <v>114247</v>
      </c>
      <c r="H468" s="244">
        <f t="shared" si="23"/>
        <v>0</v>
      </c>
    </row>
    <row r="469" spans="4:8" ht="15">
      <c r="D469" s="316">
        <v>6019</v>
      </c>
      <c r="E469" s="316" t="s">
        <v>142</v>
      </c>
      <c r="F469" s="322">
        <v>611274</v>
      </c>
      <c r="G469" s="243">
        <f t="shared" si="22"/>
        <v>611274</v>
      </c>
      <c r="H469" s="244">
        <f t="shared" si="23"/>
        <v>0</v>
      </c>
    </row>
    <row r="470" spans="4:8" ht="15">
      <c r="D470" s="316">
        <v>12128</v>
      </c>
      <c r="E470" s="316" t="s">
        <v>143</v>
      </c>
      <c r="F470" s="322">
        <v>117849</v>
      </c>
      <c r="G470" s="243">
        <f t="shared" si="22"/>
        <v>117849</v>
      </c>
      <c r="H470" s="244">
        <f t="shared" si="23"/>
        <v>0</v>
      </c>
    </row>
    <row r="471" spans="4:8" ht="15">
      <c r="D471" s="316">
        <v>3180</v>
      </c>
      <c r="E471" s="318" t="s">
        <v>144</v>
      </c>
      <c r="F471" s="322">
        <v>218590</v>
      </c>
      <c r="G471" s="243">
        <f t="shared" si="22"/>
        <v>218590</v>
      </c>
      <c r="H471" s="244">
        <f t="shared" si="23"/>
        <v>0</v>
      </c>
    </row>
    <row r="472" spans="4:8" ht="15">
      <c r="D472" s="316">
        <v>25075</v>
      </c>
      <c r="E472" s="316" t="s">
        <v>145</v>
      </c>
      <c r="F472" s="322">
        <v>95664</v>
      </c>
      <c r="G472" s="243">
        <f t="shared" si="22"/>
        <v>95664</v>
      </c>
      <c r="H472" s="244">
        <f t="shared" si="23"/>
        <v>0</v>
      </c>
    </row>
    <row r="473" spans="4:8" ht="15">
      <c r="D473" s="316">
        <v>2311</v>
      </c>
      <c r="E473" s="316" t="s">
        <v>422</v>
      </c>
      <c r="F473" s="322">
        <v>39408</v>
      </c>
      <c r="G473" s="243">
        <f t="shared" si="22"/>
        <v>39408</v>
      </c>
      <c r="H473" s="244">
        <f t="shared" si="23"/>
        <v>0</v>
      </c>
    </row>
    <row r="474" spans="4:8" ht="15">
      <c r="D474" s="316">
        <v>9028</v>
      </c>
      <c r="E474" s="316" t="s">
        <v>146</v>
      </c>
      <c r="F474" s="322">
        <v>32415</v>
      </c>
      <c r="G474" s="243">
        <f t="shared" si="22"/>
        <v>32415</v>
      </c>
      <c r="H474" s="244">
        <f t="shared" si="23"/>
        <v>0</v>
      </c>
    </row>
    <row r="475" spans="4:8" ht="15">
      <c r="D475" s="316">
        <v>17424</v>
      </c>
      <c r="E475" s="316" t="s">
        <v>147</v>
      </c>
      <c r="F475" s="322">
        <v>69313</v>
      </c>
      <c r="G475" s="243">
        <f t="shared" si="22"/>
        <v>69313</v>
      </c>
      <c r="H475" s="244">
        <f t="shared" si="23"/>
        <v>0</v>
      </c>
    </row>
    <row r="476" spans="4:8" ht="15">
      <c r="D476" s="316">
        <v>3200</v>
      </c>
      <c r="E476" s="316" t="s">
        <v>148</v>
      </c>
      <c r="F476" s="322">
        <v>226692</v>
      </c>
      <c r="G476" s="243">
        <f t="shared" si="22"/>
        <v>226692</v>
      </c>
      <c r="H476" s="244">
        <f t="shared" si="23"/>
        <v>0</v>
      </c>
    </row>
    <row r="477" spans="4:8" ht="15">
      <c r="D477" s="316">
        <v>2365</v>
      </c>
      <c r="E477" s="316" t="s">
        <v>149</v>
      </c>
      <c r="F477" s="322">
        <v>26966</v>
      </c>
      <c r="G477" s="243">
        <f t="shared" si="22"/>
        <v>26966</v>
      </c>
      <c r="H477" s="244">
        <f t="shared" si="23"/>
        <v>0</v>
      </c>
    </row>
    <row r="478" spans="4:8" ht="15">
      <c r="D478" s="316">
        <v>5014</v>
      </c>
      <c r="E478" s="316" t="s">
        <v>150</v>
      </c>
      <c r="F478" s="322">
        <v>48924</v>
      </c>
      <c r="G478" s="243">
        <f t="shared" si="22"/>
        <v>48924</v>
      </c>
      <c r="H478" s="244">
        <f t="shared" si="23"/>
        <v>0</v>
      </c>
    </row>
    <row r="479" spans="4:8" ht="15">
      <c r="D479" s="316">
        <v>17127</v>
      </c>
      <c r="E479" s="316" t="s">
        <v>151</v>
      </c>
      <c r="F479" s="322">
        <v>55317</v>
      </c>
      <c r="G479" s="243">
        <f t="shared" si="22"/>
        <v>55317</v>
      </c>
      <c r="H479" s="244">
        <f t="shared" si="23"/>
        <v>0</v>
      </c>
    </row>
    <row r="480" spans="4:8" ht="15">
      <c r="D480" s="316">
        <v>10141</v>
      </c>
      <c r="E480" s="318" t="s">
        <v>152</v>
      </c>
      <c r="F480" s="322">
        <v>71155</v>
      </c>
      <c r="G480" s="243">
        <f t="shared" si="22"/>
        <v>71155</v>
      </c>
      <c r="H480" s="244">
        <f t="shared" si="23"/>
        <v>0</v>
      </c>
    </row>
    <row r="481" spans="4:8" ht="15">
      <c r="D481" s="316">
        <v>13369</v>
      </c>
      <c r="E481" s="316" t="s">
        <v>153</v>
      </c>
      <c r="F481" s="322">
        <v>18059</v>
      </c>
      <c r="G481" s="243">
        <f t="shared" si="22"/>
        <v>18059</v>
      </c>
      <c r="H481" s="244">
        <f t="shared" si="23"/>
        <v>0</v>
      </c>
    </row>
    <row r="482" spans="4:8" ht="15">
      <c r="D482" s="316">
        <v>4570</v>
      </c>
      <c r="E482" s="316" t="s">
        <v>400</v>
      </c>
      <c r="F482" s="322">
        <v>193245</v>
      </c>
      <c r="G482" s="243">
        <f t="shared" si="22"/>
        <v>193245</v>
      </c>
      <c r="H482" s="244">
        <f t="shared" si="23"/>
        <v>0</v>
      </c>
    </row>
    <row r="483" spans="4:8" ht="15">
      <c r="D483" s="316">
        <v>2425</v>
      </c>
      <c r="E483" s="316" t="s">
        <v>154</v>
      </c>
      <c r="F483" s="322">
        <v>321573</v>
      </c>
      <c r="G483" s="243">
        <f t="shared" si="22"/>
        <v>321573</v>
      </c>
      <c r="H483" s="244">
        <f t="shared" si="23"/>
        <v>0</v>
      </c>
    </row>
    <row r="484" spans="4:8" ht="15">
      <c r="D484" s="316">
        <v>1306</v>
      </c>
      <c r="E484" s="316" t="s">
        <v>155</v>
      </c>
      <c r="F484" s="322">
        <v>54451</v>
      </c>
      <c r="G484" s="243">
        <f t="shared" si="22"/>
        <v>54451</v>
      </c>
      <c r="H484" s="244">
        <f t="shared" si="23"/>
        <v>0</v>
      </c>
    </row>
    <row r="485" spans="4:8" ht="15">
      <c r="D485" s="316">
        <v>2351</v>
      </c>
      <c r="E485" s="316" t="s">
        <v>156</v>
      </c>
      <c r="F485" s="322">
        <v>59832</v>
      </c>
      <c r="G485" s="243">
        <f t="shared" si="22"/>
        <v>59832</v>
      </c>
      <c r="H485" s="244">
        <f t="shared" si="23"/>
        <v>0</v>
      </c>
    </row>
    <row r="486" spans="4:8" ht="15">
      <c r="D486" s="316">
        <v>2334</v>
      </c>
      <c r="E486" s="316" t="s">
        <v>157</v>
      </c>
      <c r="F486" s="322">
        <v>41767</v>
      </c>
      <c r="G486" s="243">
        <f t="shared" si="22"/>
        <v>41767</v>
      </c>
      <c r="H486" s="244">
        <f t="shared" si="23"/>
        <v>0</v>
      </c>
    </row>
    <row r="487" spans="4:8" ht="15">
      <c r="D487" s="316">
        <v>30089</v>
      </c>
      <c r="E487" s="316" t="s">
        <v>158</v>
      </c>
      <c r="F487" s="322">
        <v>104735</v>
      </c>
      <c r="G487" s="243">
        <f t="shared" si="22"/>
        <v>104735</v>
      </c>
      <c r="H487" s="244">
        <f t="shared" si="23"/>
        <v>0</v>
      </c>
    </row>
    <row r="488" spans="4:8" ht="15">
      <c r="D488" s="316">
        <v>9324</v>
      </c>
      <c r="E488" s="316" t="s">
        <v>159</v>
      </c>
      <c r="F488" s="322">
        <v>12624</v>
      </c>
      <c r="G488" s="243">
        <f t="shared" si="22"/>
        <v>12624</v>
      </c>
      <c r="H488" s="244">
        <f t="shared" si="23"/>
        <v>0</v>
      </c>
    </row>
    <row r="489" spans="4:8" ht="15">
      <c r="D489" s="316">
        <v>22066</v>
      </c>
      <c r="E489" s="316" t="s">
        <v>160</v>
      </c>
      <c r="F489" s="322">
        <v>445899</v>
      </c>
      <c r="G489" s="243">
        <f t="shared" si="22"/>
        <v>445899</v>
      </c>
      <c r="H489" s="244">
        <f t="shared" si="23"/>
        <v>0</v>
      </c>
    </row>
    <row r="490" spans="4:8" ht="15">
      <c r="D490" s="316">
        <v>16356</v>
      </c>
      <c r="E490" s="316" t="s">
        <v>161</v>
      </c>
      <c r="F490" s="322">
        <v>27616</v>
      </c>
      <c r="G490" s="243">
        <f t="shared" si="22"/>
        <v>27616</v>
      </c>
      <c r="H490" s="244">
        <f t="shared" si="23"/>
        <v>0</v>
      </c>
    </row>
    <row r="491" spans="4:8" ht="15">
      <c r="D491" s="316">
        <v>31091</v>
      </c>
      <c r="E491" s="316" t="s">
        <v>162</v>
      </c>
      <c r="F491" s="322">
        <v>26024</v>
      </c>
      <c r="G491" s="243">
        <f t="shared" si="22"/>
        <v>26024</v>
      </c>
      <c r="H491" s="244">
        <f t="shared" si="23"/>
        <v>0</v>
      </c>
    </row>
    <row r="492" spans="4:8" ht="15">
      <c r="D492" s="316">
        <v>2342</v>
      </c>
      <c r="E492" s="316" t="s">
        <v>163</v>
      </c>
      <c r="F492" s="322">
        <v>42110</v>
      </c>
      <c r="G492" s="243">
        <f t="shared" si="22"/>
        <v>42110</v>
      </c>
      <c r="H492" s="244">
        <f t="shared" si="23"/>
        <v>0</v>
      </c>
    </row>
    <row r="493" spans="4:8" ht="15">
      <c r="D493" s="316">
        <v>22067</v>
      </c>
      <c r="E493" s="316" t="s">
        <v>164</v>
      </c>
      <c r="F493" s="322">
        <v>60366</v>
      </c>
      <c r="G493" s="243">
        <f t="shared" si="22"/>
        <v>60366</v>
      </c>
      <c r="H493" s="244">
        <f t="shared" si="23"/>
        <v>0</v>
      </c>
    </row>
    <row r="494" spans="4:8" ht="15">
      <c r="D494" s="316">
        <v>32112</v>
      </c>
      <c r="E494" s="316" t="s">
        <v>165</v>
      </c>
      <c r="F494" s="322">
        <v>23332</v>
      </c>
      <c r="G494" s="243">
        <f t="shared" si="22"/>
        <v>23332</v>
      </c>
      <c r="H494" s="244">
        <f t="shared" si="23"/>
        <v>0</v>
      </c>
    </row>
    <row r="495" spans="4:8" ht="15">
      <c r="D495" s="316">
        <v>2354</v>
      </c>
      <c r="E495" s="316" t="s">
        <v>166</v>
      </c>
      <c r="F495" s="322">
        <v>94015</v>
      </c>
      <c r="G495" s="243">
        <f t="shared" si="22"/>
        <v>94015</v>
      </c>
      <c r="H495" s="244">
        <f t="shared" si="23"/>
        <v>0</v>
      </c>
    </row>
    <row r="496" spans="4:8" ht="15">
      <c r="D496" s="316">
        <v>2148</v>
      </c>
      <c r="E496" s="316" t="s">
        <v>167</v>
      </c>
      <c r="F496" s="322">
        <v>27570</v>
      </c>
      <c r="G496" s="243">
        <f t="shared" si="22"/>
        <v>27570</v>
      </c>
      <c r="H496" s="244">
        <f t="shared" si="23"/>
        <v>0</v>
      </c>
    </row>
    <row r="497" spans="4:8" ht="15">
      <c r="D497" s="316">
        <v>1418</v>
      </c>
      <c r="E497" s="316" t="s">
        <v>168</v>
      </c>
      <c r="F497" s="322">
        <v>126291</v>
      </c>
      <c r="G497" s="243">
        <f t="shared" si="22"/>
        <v>126291</v>
      </c>
      <c r="H497" s="244">
        <f t="shared" si="23"/>
        <v>0</v>
      </c>
    </row>
    <row r="498" spans="4:8" ht="15">
      <c r="D498" s="316">
        <v>12102</v>
      </c>
      <c r="E498" s="316" t="s">
        <v>169</v>
      </c>
      <c r="F498" s="322">
        <v>631193</v>
      </c>
      <c r="G498" s="243">
        <f t="shared" si="22"/>
        <v>631193</v>
      </c>
      <c r="H498" s="244">
        <f t="shared" si="23"/>
        <v>0</v>
      </c>
    </row>
    <row r="499" spans="4:8" ht="15">
      <c r="D499" s="316">
        <v>2414</v>
      </c>
      <c r="E499" s="316" t="s">
        <v>170</v>
      </c>
      <c r="F499" s="322">
        <v>63798</v>
      </c>
      <c r="G499" s="243">
        <f t="shared" si="22"/>
        <v>63798</v>
      </c>
      <c r="H499" s="244">
        <f t="shared" si="23"/>
        <v>0</v>
      </c>
    </row>
    <row r="500" spans="4:8" ht="15">
      <c r="D500" s="316">
        <v>6124</v>
      </c>
      <c r="E500" s="316" t="s">
        <v>171</v>
      </c>
      <c r="F500" s="322">
        <v>377527</v>
      </c>
      <c r="G500" s="243">
        <f t="shared" si="22"/>
        <v>377527</v>
      </c>
      <c r="H500" s="244">
        <f t="shared" si="23"/>
        <v>0</v>
      </c>
    </row>
    <row r="501" spans="4:8" ht="15">
      <c r="D501" s="316">
        <v>4097</v>
      </c>
      <c r="E501" s="316" t="s">
        <v>172</v>
      </c>
      <c r="F501" s="322">
        <v>363581</v>
      </c>
      <c r="G501" s="243">
        <f t="shared" si="22"/>
        <v>363581</v>
      </c>
      <c r="H501" s="244">
        <f t="shared" si="23"/>
        <v>0</v>
      </c>
    </row>
    <row r="502" spans="4:8" ht="15">
      <c r="D502" s="316">
        <v>1416</v>
      </c>
      <c r="E502" s="316" t="s">
        <v>173</v>
      </c>
      <c r="F502" s="322">
        <v>54824</v>
      </c>
      <c r="G502" s="243">
        <f t="shared" si="22"/>
        <v>54824</v>
      </c>
      <c r="H502" s="244">
        <f t="shared" si="23"/>
        <v>0</v>
      </c>
    </row>
    <row r="503" spans="4:8" ht="15">
      <c r="D503" s="316">
        <v>1094</v>
      </c>
      <c r="E503" s="316" t="s">
        <v>174</v>
      </c>
      <c r="F503" s="322">
        <v>242502</v>
      </c>
      <c r="G503" s="243">
        <f t="shared" si="22"/>
        <v>242502</v>
      </c>
      <c r="H503" s="244">
        <f t="shared" si="23"/>
        <v>0</v>
      </c>
    </row>
    <row r="504" spans="4:8" ht="15">
      <c r="D504" s="316">
        <v>32111</v>
      </c>
      <c r="E504" s="316" t="s">
        <v>175</v>
      </c>
      <c r="F504" s="322">
        <v>252339</v>
      </c>
      <c r="G504" s="243">
        <f t="shared" si="22"/>
        <v>252339</v>
      </c>
      <c r="H504" s="244">
        <f t="shared" si="23"/>
        <v>0</v>
      </c>
    </row>
    <row r="505" spans="4:8" ht="15">
      <c r="D505" s="316">
        <v>2520</v>
      </c>
      <c r="E505" s="316" t="s">
        <v>176</v>
      </c>
      <c r="F505" s="322">
        <v>44909</v>
      </c>
      <c r="G505" s="243">
        <f t="shared" si="22"/>
        <v>44909</v>
      </c>
      <c r="H505" s="244">
        <f t="shared" si="23"/>
        <v>0</v>
      </c>
    </row>
    <row r="506" spans="4:8" ht="15">
      <c r="D506" s="316">
        <v>3450</v>
      </c>
      <c r="E506" s="316" t="s">
        <v>177</v>
      </c>
      <c r="F506" s="322">
        <v>78603</v>
      </c>
      <c r="G506" s="243">
        <f t="shared" si="22"/>
        <v>78603</v>
      </c>
      <c r="H506" s="244">
        <f t="shared" si="23"/>
        <v>0</v>
      </c>
    </row>
    <row r="507" spans="4:8" ht="15">
      <c r="D507" s="316">
        <v>4310</v>
      </c>
      <c r="E507" s="316" t="s">
        <v>178</v>
      </c>
      <c r="F507" s="322">
        <v>37496</v>
      </c>
      <c r="G507" s="243">
        <f t="shared" si="22"/>
        <v>37496</v>
      </c>
      <c r="H507" s="244">
        <f t="shared" si="23"/>
        <v>0</v>
      </c>
    </row>
    <row r="508" spans="4:8" ht="15">
      <c r="D508" s="316">
        <v>2328</v>
      </c>
      <c r="E508" s="316" t="s">
        <v>179</v>
      </c>
      <c r="F508" s="322">
        <v>54995</v>
      </c>
      <c r="G508" s="243">
        <f t="shared" si="22"/>
        <v>54995</v>
      </c>
      <c r="H508" s="244">
        <f t="shared" si="23"/>
        <v>0</v>
      </c>
    </row>
    <row r="509" spans="4:8" ht="15">
      <c r="D509" s="317">
        <v>12151</v>
      </c>
      <c r="E509" s="323" t="s">
        <v>180</v>
      </c>
      <c r="F509" s="322">
        <v>25751</v>
      </c>
      <c r="G509" s="243">
        <f t="shared" si="22"/>
        <v>25751</v>
      </c>
      <c r="H509" s="244">
        <f t="shared" si="23"/>
        <v>0</v>
      </c>
    </row>
    <row r="510" spans="4:8" ht="15">
      <c r="D510" s="316">
        <v>32110</v>
      </c>
      <c r="E510" s="316" t="s">
        <v>181</v>
      </c>
      <c r="F510" s="322">
        <v>260075</v>
      </c>
      <c r="G510" s="243">
        <f t="shared" si="22"/>
        <v>260075</v>
      </c>
      <c r="H510" s="244">
        <f t="shared" si="23"/>
        <v>0</v>
      </c>
    </row>
    <row r="511" spans="4:8" ht="15">
      <c r="D511" s="316">
        <v>4215</v>
      </c>
      <c r="E511" s="316" t="s">
        <v>182</v>
      </c>
      <c r="F511" s="322">
        <v>35707</v>
      </c>
      <c r="G511" s="243">
        <f t="shared" si="22"/>
        <v>35707</v>
      </c>
      <c r="H511" s="244">
        <f t="shared" si="23"/>
        <v>0</v>
      </c>
    </row>
    <row r="512" spans="4:8" ht="15">
      <c r="D512" s="316">
        <v>2870</v>
      </c>
      <c r="E512" s="316" t="s">
        <v>183</v>
      </c>
      <c r="F512" s="322">
        <v>41565</v>
      </c>
      <c r="G512" s="243">
        <f t="shared" si="22"/>
        <v>41565</v>
      </c>
      <c r="H512" s="244">
        <f t="shared" si="23"/>
        <v>0</v>
      </c>
    </row>
    <row r="513" spans="4:8" ht="15">
      <c r="D513" s="316">
        <v>29150</v>
      </c>
      <c r="E513" s="316" t="s">
        <v>184</v>
      </c>
      <c r="F513" s="322">
        <v>8100</v>
      </c>
      <c r="G513" s="243">
        <f t="shared" si="22"/>
        <v>8100</v>
      </c>
      <c r="H513" s="244">
        <f t="shared" si="23"/>
        <v>0</v>
      </c>
    </row>
    <row r="514" spans="4:8" ht="15">
      <c r="D514" s="316">
        <v>32118</v>
      </c>
      <c r="E514" s="316" t="s">
        <v>186</v>
      </c>
      <c r="F514" s="322">
        <v>164513</v>
      </c>
      <c r="G514" s="243">
        <f t="shared" si="22"/>
        <v>164513</v>
      </c>
      <c r="H514" s="244">
        <f t="shared" si="23"/>
        <v>0</v>
      </c>
    </row>
    <row r="515" spans="4:8" ht="15">
      <c r="D515" s="316">
        <v>12039</v>
      </c>
      <c r="E515" s="316" t="s">
        <v>187</v>
      </c>
      <c r="F515" s="322">
        <v>102254</v>
      </c>
      <c r="G515" s="243">
        <f t="shared" si="22"/>
        <v>102254</v>
      </c>
      <c r="H515" s="244">
        <f t="shared" si="23"/>
        <v>0</v>
      </c>
    </row>
    <row r="516" spans="4:8" ht="15">
      <c r="D516" s="316">
        <v>12150</v>
      </c>
      <c r="E516" s="316" t="s">
        <v>188</v>
      </c>
      <c r="F516" s="322">
        <v>18510</v>
      </c>
      <c r="G516" s="243">
        <f t="shared" si="22"/>
        <v>18510</v>
      </c>
      <c r="H516" s="244">
        <f t="shared" si="23"/>
        <v>0</v>
      </c>
    </row>
    <row r="517" spans="4:8" ht="15">
      <c r="D517" s="316">
        <v>20060</v>
      </c>
      <c r="E517" s="316" t="s">
        <v>189</v>
      </c>
      <c r="F517" s="322">
        <v>76041</v>
      </c>
      <c r="G517" s="243">
        <f t="shared" ref="G517:G580" si="24">VLOOKUP(D517,$A$9:$C$314,3,FALSE)</f>
        <v>76041</v>
      </c>
      <c r="H517" s="244">
        <f t="shared" si="23"/>
        <v>0</v>
      </c>
    </row>
    <row r="518" spans="4:8" ht="15">
      <c r="D518" s="316">
        <v>1001</v>
      </c>
      <c r="E518" s="316" t="s">
        <v>190</v>
      </c>
      <c r="F518" s="322">
        <v>290427</v>
      </c>
      <c r="G518" s="243">
        <f t="shared" si="24"/>
        <v>290427</v>
      </c>
      <c r="H518" s="244">
        <f t="shared" ref="H518:H581" si="25">+F518-G518</f>
        <v>0</v>
      </c>
    </row>
    <row r="519" spans="4:8" ht="15">
      <c r="D519" s="316">
        <v>11035</v>
      </c>
      <c r="E519" s="316" t="s">
        <v>191</v>
      </c>
      <c r="F519" s="322">
        <v>515070</v>
      </c>
      <c r="G519" s="243">
        <f t="shared" si="24"/>
        <v>515070</v>
      </c>
      <c r="H519" s="244">
        <f t="shared" si="25"/>
        <v>0</v>
      </c>
    </row>
    <row r="520" spans="4:8" ht="15">
      <c r="D520" s="316">
        <v>2320</v>
      </c>
      <c r="E520" s="316" t="s">
        <v>192</v>
      </c>
      <c r="F520" s="322">
        <v>60544</v>
      </c>
      <c r="G520" s="243">
        <f t="shared" si="24"/>
        <v>60544</v>
      </c>
      <c r="H520" s="244">
        <f t="shared" si="25"/>
        <v>0</v>
      </c>
    </row>
    <row r="521" spans="4:8" ht="15">
      <c r="D521" s="316">
        <v>28084</v>
      </c>
      <c r="E521" s="316" t="s">
        <v>193</v>
      </c>
      <c r="F521" s="322">
        <v>50899</v>
      </c>
      <c r="G521" s="243">
        <f t="shared" si="24"/>
        <v>50899</v>
      </c>
      <c r="H521" s="244">
        <f t="shared" si="25"/>
        <v>0</v>
      </c>
    </row>
    <row r="522" spans="4:8" ht="15">
      <c r="D522" s="316">
        <v>20125</v>
      </c>
      <c r="E522" s="316" t="s">
        <v>194</v>
      </c>
      <c r="F522" s="322">
        <v>77210</v>
      </c>
      <c r="G522" s="243">
        <f t="shared" si="24"/>
        <v>77210</v>
      </c>
      <c r="H522" s="244">
        <f t="shared" si="25"/>
        <v>0</v>
      </c>
    </row>
    <row r="523" spans="4:8" ht="15">
      <c r="D523" s="316">
        <v>7445</v>
      </c>
      <c r="E523" s="316" t="s">
        <v>411</v>
      </c>
      <c r="F523" s="322">
        <v>30530</v>
      </c>
      <c r="G523" s="243">
        <f t="shared" si="24"/>
        <v>30530</v>
      </c>
      <c r="H523" s="244">
        <f t="shared" si="25"/>
        <v>0</v>
      </c>
    </row>
    <row r="524" spans="4:8" ht="15">
      <c r="D524" s="316">
        <v>9029</v>
      </c>
      <c r="E524" s="316" t="s">
        <v>196</v>
      </c>
      <c r="F524" s="322">
        <v>150999</v>
      </c>
      <c r="G524" s="243">
        <f t="shared" si="24"/>
        <v>150999</v>
      </c>
      <c r="H524" s="244">
        <f t="shared" si="25"/>
        <v>0</v>
      </c>
    </row>
    <row r="525" spans="4:8" ht="15">
      <c r="D525" s="316">
        <v>2580</v>
      </c>
      <c r="E525" s="316" t="s">
        <v>197</v>
      </c>
      <c r="F525" s="322">
        <v>18163</v>
      </c>
      <c r="G525" s="243">
        <f t="shared" si="24"/>
        <v>18163</v>
      </c>
      <c r="H525" s="244">
        <f t="shared" si="25"/>
        <v>0</v>
      </c>
    </row>
    <row r="526" spans="4:8" ht="15">
      <c r="D526" s="316">
        <v>20312</v>
      </c>
      <c r="E526" s="316" t="s">
        <v>198</v>
      </c>
      <c r="F526" s="322">
        <v>14824</v>
      </c>
      <c r="G526" s="243">
        <f t="shared" si="24"/>
        <v>14824</v>
      </c>
      <c r="H526" s="244">
        <f t="shared" si="25"/>
        <v>0</v>
      </c>
    </row>
    <row r="527" spans="4:8" ht="15">
      <c r="D527" s="316">
        <v>26150</v>
      </c>
      <c r="E527" s="316" t="s">
        <v>199</v>
      </c>
      <c r="F527" s="322">
        <v>109871</v>
      </c>
      <c r="G527" s="243">
        <f t="shared" si="24"/>
        <v>109871</v>
      </c>
      <c r="H527" s="244">
        <f t="shared" si="25"/>
        <v>0</v>
      </c>
    </row>
    <row r="528" spans="4:8" ht="15">
      <c r="D528" s="316">
        <v>5016</v>
      </c>
      <c r="E528" s="316" t="s">
        <v>200</v>
      </c>
      <c r="F528" s="322">
        <v>15971</v>
      </c>
      <c r="G528" s="243">
        <f t="shared" si="24"/>
        <v>15971</v>
      </c>
      <c r="H528" s="244">
        <f t="shared" si="25"/>
        <v>0</v>
      </c>
    </row>
    <row r="529" spans="4:8" ht="15">
      <c r="D529" s="316">
        <v>6150</v>
      </c>
      <c r="E529" s="316" t="s">
        <v>201</v>
      </c>
      <c r="F529" s="322">
        <v>12608</v>
      </c>
      <c r="G529" s="243">
        <f t="shared" si="24"/>
        <v>12608</v>
      </c>
      <c r="H529" s="244">
        <f t="shared" si="25"/>
        <v>0</v>
      </c>
    </row>
    <row r="530" spans="4:8" ht="15">
      <c r="D530" s="316">
        <v>4480</v>
      </c>
      <c r="E530" s="316" t="s">
        <v>202</v>
      </c>
      <c r="F530" s="322">
        <v>21222</v>
      </c>
      <c r="G530" s="243">
        <f t="shared" si="24"/>
        <v>21222</v>
      </c>
      <c r="H530" s="244">
        <f t="shared" si="25"/>
        <v>0</v>
      </c>
    </row>
    <row r="531" spans="4:8" ht="15">
      <c r="D531" s="316">
        <v>28085</v>
      </c>
      <c r="E531" s="316" t="s">
        <v>203</v>
      </c>
      <c r="F531" s="322">
        <v>39690</v>
      </c>
      <c r="G531" s="243">
        <f t="shared" si="24"/>
        <v>39690</v>
      </c>
      <c r="H531" s="244">
        <f t="shared" si="25"/>
        <v>0</v>
      </c>
    </row>
    <row r="532" spans="4:8" ht="15">
      <c r="D532" s="317">
        <v>3240</v>
      </c>
      <c r="E532" s="317" t="s">
        <v>204</v>
      </c>
      <c r="F532" s="322">
        <v>230573</v>
      </c>
      <c r="G532" s="243">
        <f t="shared" si="24"/>
        <v>230573</v>
      </c>
      <c r="H532" s="244">
        <f t="shared" si="25"/>
        <v>0</v>
      </c>
    </row>
    <row r="533" spans="4:8" ht="15">
      <c r="D533" s="316">
        <v>12326</v>
      </c>
      <c r="E533" s="316" t="s">
        <v>205</v>
      </c>
      <c r="F533" s="322">
        <v>20726</v>
      </c>
      <c r="G533" s="243">
        <f t="shared" si="24"/>
        <v>20726</v>
      </c>
      <c r="H533" s="244">
        <f t="shared" si="25"/>
        <v>0</v>
      </c>
    </row>
    <row r="534" spans="4:8" ht="15">
      <c r="D534" s="316">
        <v>2445</v>
      </c>
      <c r="E534" s="316" t="s">
        <v>446</v>
      </c>
      <c r="F534" s="322">
        <v>19287</v>
      </c>
      <c r="G534" s="243">
        <f t="shared" si="24"/>
        <v>19287</v>
      </c>
      <c r="H534" s="244">
        <f t="shared" si="25"/>
        <v>0</v>
      </c>
    </row>
    <row r="535" spans="4:8" ht="15">
      <c r="D535" s="316">
        <v>29123</v>
      </c>
      <c r="E535" s="316" t="s">
        <v>206</v>
      </c>
      <c r="F535" s="322">
        <v>2904090</v>
      </c>
      <c r="G535" s="243">
        <f t="shared" si="24"/>
        <v>2904090</v>
      </c>
      <c r="H535" s="244">
        <f t="shared" si="25"/>
        <v>0</v>
      </c>
    </row>
    <row r="536" spans="4:8" ht="15">
      <c r="D536" s="316">
        <v>2318</v>
      </c>
      <c r="E536" s="316" t="s">
        <v>207</v>
      </c>
      <c r="F536" s="322">
        <v>61439</v>
      </c>
      <c r="G536" s="243">
        <f t="shared" si="24"/>
        <v>61439</v>
      </c>
      <c r="H536" s="244">
        <f t="shared" si="25"/>
        <v>0</v>
      </c>
    </row>
    <row r="537" spans="4:8" ht="15">
      <c r="D537" s="316">
        <v>3250</v>
      </c>
      <c r="E537" s="316" t="s">
        <v>208</v>
      </c>
      <c r="F537" s="322">
        <v>80713</v>
      </c>
      <c r="G537" s="243">
        <f t="shared" si="24"/>
        <v>80713</v>
      </c>
      <c r="H537" s="244">
        <f t="shared" si="25"/>
        <v>0</v>
      </c>
    </row>
    <row r="538" spans="4:8" ht="15">
      <c r="D538" s="316">
        <v>2313</v>
      </c>
      <c r="E538" s="316" t="s">
        <v>209</v>
      </c>
      <c r="F538" s="322">
        <v>11637</v>
      </c>
      <c r="G538" s="243">
        <f t="shared" si="24"/>
        <v>11637</v>
      </c>
      <c r="H538" s="244">
        <f t="shared" si="25"/>
        <v>0</v>
      </c>
    </row>
    <row r="539" spans="4:8" ht="15">
      <c r="D539" s="316">
        <v>4011</v>
      </c>
      <c r="E539" s="316" t="s">
        <v>210</v>
      </c>
      <c r="F539" s="322">
        <v>1659735</v>
      </c>
      <c r="G539" s="243">
        <f t="shared" si="24"/>
        <v>1659735</v>
      </c>
      <c r="H539" s="244">
        <f t="shared" si="25"/>
        <v>0</v>
      </c>
    </row>
    <row r="540" spans="4:8" ht="15">
      <c r="D540" s="316">
        <v>31092</v>
      </c>
      <c r="E540" s="316" t="s">
        <v>211</v>
      </c>
      <c r="F540" s="322">
        <v>25769</v>
      </c>
      <c r="G540" s="243">
        <f t="shared" si="24"/>
        <v>25769</v>
      </c>
      <c r="H540" s="244">
        <f t="shared" si="25"/>
        <v>0</v>
      </c>
    </row>
    <row r="541" spans="4:8" ht="15">
      <c r="D541" s="316">
        <v>26081</v>
      </c>
      <c r="E541" s="316" t="s">
        <v>212</v>
      </c>
      <c r="F541" s="322">
        <v>304499</v>
      </c>
      <c r="G541" s="243">
        <f t="shared" si="24"/>
        <v>304499</v>
      </c>
      <c r="H541" s="244">
        <f t="shared" si="25"/>
        <v>0</v>
      </c>
    </row>
    <row r="542" spans="4:8" ht="15">
      <c r="D542" s="316">
        <v>29305</v>
      </c>
      <c r="E542" s="316" t="s">
        <v>213</v>
      </c>
      <c r="F542" s="322">
        <v>20223</v>
      </c>
      <c r="G542" s="243">
        <f t="shared" si="24"/>
        <v>20223</v>
      </c>
      <c r="H542" s="244">
        <f t="shared" si="25"/>
        <v>0</v>
      </c>
    </row>
    <row r="543" spans="4:8" ht="15">
      <c r="D543" s="316">
        <v>10032</v>
      </c>
      <c r="E543" s="316" t="s">
        <v>214</v>
      </c>
      <c r="F543" s="322">
        <v>37655</v>
      </c>
      <c r="G543" s="243">
        <f t="shared" si="24"/>
        <v>37655</v>
      </c>
      <c r="H543" s="244">
        <f t="shared" si="25"/>
        <v>0</v>
      </c>
    </row>
    <row r="544" spans="4:8" ht="15">
      <c r="D544" s="316">
        <v>32107</v>
      </c>
      <c r="E544" s="316" t="s">
        <v>215</v>
      </c>
      <c r="F544" s="322">
        <v>47660</v>
      </c>
      <c r="G544" s="243">
        <f t="shared" si="24"/>
        <v>47660</v>
      </c>
      <c r="H544" s="244">
        <f t="shared" si="25"/>
        <v>0</v>
      </c>
    </row>
    <row r="545" spans="4:8" ht="15">
      <c r="D545" s="316">
        <v>3260</v>
      </c>
      <c r="E545" s="316" t="s">
        <v>216</v>
      </c>
      <c r="F545" s="322">
        <v>667632</v>
      </c>
      <c r="G545" s="243">
        <f t="shared" si="24"/>
        <v>667632</v>
      </c>
      <c r="H545" s="244">
        <f t="shared" si="25"/>
        <v>0</v>
      </c>
    </row>
    <row r="546" spans="4:8" ht="15">
      <c r="D546" s="316">
        <v>4390</v>
      </c>
      <c r="E546" s="316" t="s">
        <v>217</v>
      </c>
      <c r="F546" s="322">
        <v>7245</v>
      </c>
      <c r="G546" s="243">
        <f t="shared" si="24"/>
        <v>7245</v>
      </c>
      <c r="H546" s="244">
        <f t="shared" si="25"/>
        <v>0</v>
      </c>
    </row>
    <row r="547" spans="4:8" ht="15">
      <c r="D547" s="316">
        <v>3270</v>
      </c>
      <c r="E547" s="316" t="s">
        <v>218</v>
      </c>
      <c r="F547" s="322">
        <v>101533</v>
      </c>
      <c r="G547" s="243">
        <f t="shared" si="24"/>
        <v>101533</v>
      </c>
      <c r="H547" s="244">
        <f t="shared" si="25"/>
        <v>0</v>
      </c>
    </row>
    <row r="548" spans="4:8" ht="15">
      <c r="D548" s="316">
        <v>29303</v>
      </c>
      <c r="E548" s="316" t="s">
        <v>219</v>
      </c>
      <c r="F548" s="322">
        <v>36283</v>
      </c>
      <c r="G548" s="243">
        <f t="shared" si="24"/>
        <v>36283</v>
      </c>
      <c r="H548" s="244">
        <f t="shared" si="25"/>
        <v>0</v>
      </c>
    </row>
    <row r="549" spans="4:8" ht="15">
      <c r="D549" s="316">
        <v>3280</v>
      </c>
      <c r="E549" s="316" t="s">
        <v>423</v>
      </c>
      <c r="F549" s="322">
        <v>511346</v>
      </c>
      <c r="G549" s="243">
        <f t="shared" si="24"/>
        <v>511346</v>
      </c>
      <c r="H549" s="244">
        <f t="shared" si="25"/>
        <v>0</v>
      </c>
    </row>
    <row r="550" spans="4:8" ht="15">
      <c r="D550" s="316">
        <v>4260</v>
      </c>
      <c r="E550" s="316" t="s">
        <v>221</v>
      </c>
      <c r="F550" s="322">
        <v>39689</v>
      </c>
      <c r="G550" s="243">
        <f t="shared" si="24"/>
        <v>39689</v>
      </c>
      <c r="H550" s="244">
        <f t="shared" si="25"/>
        <v>0</v>
      </c>
    </row>
    <row r="551" spans="4:8" ht="15">
      <c r="D551" s="316">
        <v>1003</v>
      </c>
      <c r="E551" s="316" t="s">
        <v>222</v>
      </c>
      <c r="F551" s="322">
        <v>568222</v>
      </c>
      <c r="G551" s="243">
        <f t="shared" si="24"/>
        <v>568222</v>
      </c>
      <c r="H551" s="244">
        <f t="shared" si="25"/>
        <v>0</v>
      </c>
    </row>
    <row r="552" spans="4:8" ht="15">
      <c r="D552" s="316">
        <v>3290</v>
      </c>
      <c r="E552" s="315" t="s">
        <v>223</v>
      </c>
      <c r="F552" s="322">
        <v>1157478</v>
      </c>
      <c r="G552" s="243">
        <f t="shared" si="24"/>
        <v>1157478</v>
      </c>
      <c r="H552" s="244">
        <f t="shared" si="25"/>
        <v>0</v>
      </c>
    </row>
    <row r="553" spans="4:8" ht="15">
      <c r="D553" s="316">
        <v>1002</v>
      </c>
      <c r="E553" s="316" t="s">
        <v>224</v>
      </c>
      <c r="F553" s="322">
        <v>2056822</v>
      </c>
      <c r="G553" s="243">
        <f t="shared" si="24"/>
        <v>2056822</v>
      </c>
      <c r="H553" s="244">
        <f t="shared" si="25"/>
        <v>0</v>
      </c>
    </row>
    <row r="554" spans="4:8" ht="15">
      <c r="D554" s="316">
        <v>4270</v>
      </c>
      <c r="E554" s="316" t="s">
        <v>424</v>
      </c>
      <c r="F554" s="322">
        <v>43128</v>
      </c>
      <c r="G554" s="243">
        <f t="shared" si="24"/>
        <v>43128</v>
      </c>
      <c r="H554" s="244">
        <f t="shared" si="25"/>
        <v>0</v>
      </c>
    </row>
    <row r="555" spans="4:8" ht="15">
      <c r="D555" s="316">
        <v>24072</v>
      </c>
      <c r="E555" s="316" t="s">
        <v>225</v>
      </c>
      <c r="F555" s="322">
        <v>154371</v>
      </c>
      <c r="G555" s="243">
        <f t="shared" si="24"/>
        <v>154371</v>
      </c>
      <c r="H555" s="244">
        <f t="shared" si="25"/>
        <v>0</v>
      </c>
    </row>
    <row r="556" spans="4:8" ht="15">
      <c r="D556" s="316">
        <v>14366</v>
      </c>
      <c r="E556" s="316" t="s">
        <v>226</v>
      </c>
      <c r="F556" s="322">
        <v>97418</v>
      </c>
      <c r="G556" s="243">
        <f t="shared" si="24"/>
        <v>97418</v>
      </c>
      <c r="H556" s="244">
        <f t="shared" si="25"/>
        <v>0</v>
      </c>
    </row>
    <row r="557" spans="4:8" ht="15">
      <c r="D557" s="316">
        <v>4317</v>
      </c>
      <c r="E557" s="316" t="s">
        <v>227</v>
      </c>
      <c r="F557" s="322">
        <v>27129</v>
      </c>
      <c r="G557" s="243">
        <f t="shared" si="24"/>
        <v>27129</v>
      </c>
      <c r="H557" s="244">
        <f t="shared" si="25"/>
        <v>0</v>
      </c>
    </row>
    <row r="558" spans="4:8" ht="15">
      <c r="D558" s="316">
        <v>32120</v>
      </c>
      <c r="E558" s="316" t="s">
        <v>228</v>
      </c>
      <c r="F558" s="322">
        <v>53943</v>
      </c>
      <c r="G558" s="243">
        <f t="shared" si="24"/>
        <v>53943</v>
      </c>
      <c r="H558" s="244">
        <f t="shared" si="25"/>
        <v>0</v>
      </c>
    </row>
    <row r="559" spans="4:8" ht="15">
      <c r="D559" s="316">
        <v>3300</v>
      </c>
      <c r="E559" s="316" t="s">
        <v>425</v>
      </c>
      <c r="F559" s="322">
        <v>78044</v>
      </c>
      <c r="G559" s="243">
        <f t="shared" si="24"/>
        <v>78044</v>
      </c>
      <c r="H559" s="244">
        <f t="shared" si="25"/>
        <v>0</v>
      </c>
    </row>
    <row r="560" spans="4:8" ht="15">
      <c r="D560" s="316">
        <v>8026</v>
      </c>
      <c r="E560" s="316" t="s">
        <v>230</v>
      </c>
      <c r="F560" s="322">
        <v>417745</v>
      </c>
      <c r="G560" s="243">
        <f t="shared" si="24"/>
        <v>417745</v>
      </c>
      <c r="H560" s="244">
        <f t="shared" si="25"/>
        <v>0</v>
      </c>
    </row>
    <row r="561" spans="4:8" ht="15">
      <c r="D561" s="316">
        <v>32119</v>
      </c>
      <c r="E561" s="318" t="s">
        <v>231</v>
      </c>
      <c r="F561" s="322">
        <v>12609</v>
      </c>
      <c r="G561" s="243">
        <f t="shared" si="24"/>
        <v>12609</v>
      </c>
      <c r="H561" s="244">
        <f t="shared" si="25"/>
        <v>0</v>
      </c>
    </row>
    <row r="562" spans="4:8" ht="15">
      <c r="D562" s="316">
        <v>25076</v>
      </c>
      <c r="E562" s="316" t="s">
        <v>232</v>
      </c>
      <c r="F562" s="322">
        <v>263089</v>
      </c>
      <c r="G562" s="243">
        <f t="shared" si="24"/>
        <v>263089</v>
      </c>
      <c r="H562" s="244">
        <f t="shared" si="25"/>
        <v>0</v>
      </c>
    </row>
    <row r="563" spans="4:8" ht="15">
      <c r="D563" s="316">
        <v>2440</v>
      </c>
      <c r="E563" s="316" t="s">
        <v>401</v>
      </c>
      <c r="F563" s="322">
        <v>61282</v>
      </c>
      <c r="G563" s="243">
        <f t="shared" si="24"/>
        <v>61282</v>
      </c>
      <c r="H563" s="244">
        <f t="shared" si="25"/>
        <v>0</v>
      </c>
    </row>
    <row r="564" spans="4:8" ht="15">
      <c r="D564" s="316">
        <v>2309</v>
      </c>
      <c r="E564" s="316" t="s">
        <v>233</v>
      </c>
      <c r="F564" s="322">
        <v>116399</v>
      </c>
      <c r="G564" s="243">
        <f t="shared" si="24"/>
        <v>116399</v>
      </c>
      <c r="H564" s="244">
        <f t="shared" si="25"/>
        <v>0</v>
      </c>
    </row>
    <row r="565" spans="4:8" ht="15">
      <c r="D565" s="316">
        <v>2396</v>
      </c>
      <c r="E565" s="316" t="s">
        <v>234</v>
      </c>
      <c r="F565" s="322">
        <v>29539</v>
      </c>
      <c r="G565" s="243">
        <f t="shared" si="24"/>
        <v>29539</v>
      </c>
      <c r="H565" s="244">
        <f t="shared" si="25"/>
        <v>0</v>
      </c>
    </row>
    <row r="566" spans="4:8" ht="15">
      <c r="D566" s="428" t="s">
        <v>606</v>
      </c>
      <c r="E566" s="316" t="s">
        <v>484</v>
      </c>
      <c r="F566" s="322">
        <v>213021</v>
      </c>
      <c r="G566" s="243">
        <f t="shared" si="24"/>
        <v>213021</v>
      </c>
      <c r="H566" s="244">
        <f t="shared" si="25"/>
        <v>0</v>
      </c>
    </row>
    <row r="567" spans="4:8" ht="15">
      <c r="D567" s="316">
        <v>3380</v>
      </c>
      <c r="E567" s="316" t="s">
        <v>235</v>
      </c>
      <c r="F567" s="322">
        <v>19882</v>
      </c>
      <c r="G567" s="243">
        <f t="shared" si="24"/>
        <v>19882</v>
      </c>
      <c r="H567" s="244">
        <f t="shared" si="25"/>
        <v>0</v>
      </c>
    </row>
    <row r="568" spans="4:8" ht="15">
      <c r="D568" s="316">
        <v>2740</v>
      </c>
      <c r="E568" s="316" t="s">
        <v>237</v>
      </c>
      <c r="F568" s="322">
        <v>3503</v>
      </c>
      <c r="G568" s="243">
        <f t="shared" si="24"/>
        <v>3503</v>
      </c>
      <c r="H568" s="244">
        <f t="shared" si="25"/>
        <v>0</v>
      </c>
    </row>
    <row r="569" spans="4:8" ht="15">
      <c r="D569" s="316">
        <v>2346</v>
      </c>
      <c r="E569" s="316" t="s">
        <v>238</v>
      </c>
      <c r="F569" s="322">
        <v>21915</v>
      </c>
      <c r="G569" s="243">
        <f t="shared" si="24"/>
        <v>21915</v>
      </c>
      <c r="H569" s="244">
        <f t="shared" si="25"/>
        <v>0</v>
      </c>
    </row>
    <row r="570" spans="4:8" ht="15">
      <c r="D570" s="316">
        <v>21150</v>
      </c>
      <c r="E570" s="316" t="s">
        <v>239</v>
      </c>
      <c r="F570" s="322">
        <v>98389</v>
      </c>
      <c r="G570" s="243">
        <f t="shared" si="24"/>
        <v>98389</v>
      </c>
      <c r="H570" s="244">
        <f t="shared" si="25"/>
        <v>0</v>
      </c>
    </row>
    <row r="571" spans="4:8" ht="15">
      <c r="D571" s="316">
        <v>32098</v>
      </c>
      <c r="E571" s="316" t="s">
        <v>240</v>
      </c>
      <c r="F571" s="322">
        <v>22314</v>
      </c>
      <c r="G571" s="243">
        <f t="shared" si="24"/>
        <v>22314</v>
      </c>
      <c r="H571" s="244">
        <f t="shared" si="25"/>
        <v>0</v>
      </c>
    </row>
    <row r="572" spans="4:8" ht="15">
      <c r="D572" s="316">
        <v>4520</v>
      </c>
      <c r="E572" s="316" t="s">
        <v>241</v>
      </c>
      <c r="F572" s="322">
        <v>3494</v>
      </c>
      <c r="G572" s="243">
        <f t="shared" si="24"/>
        <v>3494</v>
      </c>
      <c r="H572" s="244">
        <f t="shared" si="25"/>
        <v>0</v>
      </c>
    </row>
    <row r="573" spans="4:8" ht="15">
      <c r="D573" s="316">
        <v>9030</v>
      </c>
      <c r="E573" s="316" t="s">
        <v>242</v>
      </c>
      <c r="F573" s="322">
        <v>33753</v>
      </c>
      <c r="G573" s="243">
        <f t="shared" si="24"/>
        <v>33753</v>
      </c>
      <c r="H573" s="244">
        <f t="shared" si="25"/>
        <v>0</v>
      </c>
    </row>
    <row r="574" spans="4:8" ht="15">
      <c r="D574" s="316">
        <v>20265</v>
      </c>
      <c r="E574" s="316" t="s">
        <v>243</v>
      </c>
      <c r="F574" s="322">
        <v>48612</v>
      </c>
      <c r="G574" s="243">
        <f t="shared" si="24"/>
        <v>48612</v>
      </c>
      <c r="H574" s="244">
        <f t="shared" si="25"/>
        <v>0</v>
      </c>
    </row>
    <row r="575" spans="4:8" ht="15">
      <c r="D575" s="316">
        <v>20307</v>
      </c>
      <c r="E575" s="316" t="s">
        <v>244</v>
      </c>
      <c r="F575" s="322">
        <v>40863</v>
      </c>
      <c r="G575" s="243">
        <f t="shared" si="24"/>
        <v>40863</v>
      </c>
      <c r="H575" s="244">
        <f t="shared" si="25"/>
        <v>0</v>
      </c>
    </row>
    <row r="576" spans="4:8" ht="15">
      <c r="D576" s="316">
        <v>3320</v>
      </c>
      <c r="E576" s="316" t="s">
        <v>245</v>
      </c>
      <c r="F576" s="322">
        <v>253119</v>
      </c>
      <c r="G576" s="243">
        <f t="shared" si="24"/>
        <v>253119</v>
      </c>
      <c r="H576" s="244">
        <f t="shared" si="25"/>
        <v>0</v>
      </c>
    </row>
    <row r="577" spans="4:8" ht="15">
      <c r="D577" s="316">
        <v>20415</v>
      </c>
      <c r="E577" s="316" t="s">
        <v>246</v>
      </c>
      <c r="F577" s="322">
        <v>30023</v>
      </c>
      <c r="G577" s="243">
        <f t="shared" si="24"/>
        <v>30023</v>
      </c>
      <c r="H577" s="244">
        <f t="shared" si="25"/>
        <v>0</v>
      </c>
    </row>
    <row r="578" spans="4:8" ht="15">
      <c r="D578" s="316">
        <v>20435</v>
      </c>
      <c r="E578" s="316" t="s">
        <v>418</v>
      </c>
      <c r="F578" s="322">
        <v>33726</v>
      </c>
      <c r="G578" s="243">
        <f t="shared" si="24"/>
        <v>33726</v>
      </c>
      <c r="H578" s="244">
        <f t="shared" si="25"/>
        <v>0</v>
      </c>
    </row>
    <row r="579" spans="4:8" ht="15">
      <c r="D579" s="316">
        <v>20062</v>
      </c>
      <c r="E579" s="316" t="s">
        <v>247</v>
      </c>
      <c r="F579" s="322">
        <v>334389</v>
      </c>
      <c r="G579" s="243">
        <f t="shared" si="24"/>
        <v>334389</v>
      </c>
      <c r="H579" s="244">
        <f t="shared" si="25"/>
        <v>0</v>
      </c>
    </row>
    <row r="580" spans="4:8" ht="15">
      <c r="D580" s="316">
        <v>3410</v>
      </c>
      <c r="E580" s="316" t="s">
        <v>485</v>
      </c>
      <c r="F580" s="322">
        <v>4420</v>
      </c>
      <c r="G580" s="243">
        <f t="shared" si="24"/>
        <v>4420</v>
      </c>
      <c r="H580" s="244">
        <f t="shared" si="25"/>
        <v>0</v>
      </c>
    </row>
    <row r="581" spans="4:8" ht="15">
      <c r="D581" s="316">
        <v>6020</v>
      </c>
      <c r="E581" s="316" t="s">
        <v>248</v>
      </c>
      <c r="F581" s="322">
        <v>70791</v>
      </c>
      <c r="G581" s="243">
        <f t="shared" ref="G581:G629" si="26">VLOOKUP(D581,$A$9:$C$314,3,FALSE)</f>
        <v>70791</v>
      </c>
      <c r="H581" s="244">
        <f t="shared" si="25"/>
        <v>0</v>
      </c>
    </row>
    <row r="582" spans="4:8" ht="15">
      <c r="D582" s="316">
        <v>2394</v>
      </c>
      <c r="E582" s="316" t="s">
        <v>249</v>
      </c>
      <c r="F582" s="322">
        <v>44179</v>
      </c>
      <c r="G582" s="243">
        <f t="shared" si="26"/>
        <v>44179</v>
      </c>
      <c r="H582" s="244">
        <f t="shared" ref="H582:H629" si="27">+F582-G582</f>
        <v>0</v>
      </c>
    </row>
    <row r="583" spans="4:8" ht="15">
      <c r="D583" s="316">
        <v>5015</v>
      </c>
      <c r="E583" s="316" t="s">
        <v>250</v>
      </c>
      <c r="F583" s="322">
        <v>97457</v>
      </c>
      <c r="G583" s="243">
        <f t="shared" si="26"/>
        <v>97457</v>
      </c>
      <c r="H583" s="244">
        <f t="shared" si="27"/>
        <v>0</v>
      </c>
    </row>
    <row r="584" spans="4:8" ht="15">
      <c r="D584" s="316">
        <v>29408</v>
      </c>
      <c r="E584" s="316" t="s">
        <v>251</v>
      </c>
      <c r="F584" s="322">
        <v>72559</v>
      </c>
      <c r="G584" s="243">
        <f t="shared" si="26"/>
        <v>72559</v>
      </c>
      <c r="H584" s="244">
        <f t="shared" si="27"/>
        <v>0</v>
      </c>
    </row>
    <row r="585" spans="4:8" ht="15">
      <c r="D585" s="316">
        <v>2413</v>
      </c>
      <c r="E585" s="316" t="s">
        <v>252</v>
      </c>
      <c r="F585" s="322">
        <v>12874</v>
      </c>
      <c r="G585" s="243">
        <f t="shared" si="26"/>
        <v>12874</v>
      </c>
      <c r="H585" s="244">
        <f t="shared" si="27"/>
        <v>0</v>
      </c>
    </row>
    <row r="586" spans="4:8" ht="15">
      <c r="D586" s="317">
        <v>1398</v>
      </c>
      <c r="E586" s="317" t="s">
        <v>253</v>
      </c>
      <c r="F586" s="322">
        <v>43820</v>
      </c>
      <c r="G586" s="243">
        <f t="shared" si="26"/>
        <v>43820</v>
      </c>
      <c r="H586" s="244">
        <f t="shared" si="27"/>
        <v>0</v>
      </c>
    </row>
    <row r="587" spans="4:8" ht="15">
      <c r="D587" s="316">
        <v>2366</v>
      </c>
      <c r="E587" s="316" t="s">
        <v>254</v>
      </c>
      <c r="F587" s="322">
        <v>27096</v>
      </c>
      <c r="G587" s="243">
        <f t="shared" si="26"/>
        <v>27096</v>
      </c>
      <c r="H587" s="244">
        <f t="shared" si="27"/>
        <v>0</v>
      </c>
    </row>
    <row r="588" spans="4:8" ht="15">
      <c r="D588" s="316">
        <v>7421</v>
      </c>
      <c r="E588" s="316" t="s">
        <v>255</v>
      </c>
      <c r="F588" s="322">
        <v>24525</v>
      </c>
      <c r="G588" s="243">
        <f t="shared" si="26"/>
        <v>24525</v>
      </c>
      <c r="H588" s="244">
        <f t="shared" si="27"/>
        <v>0</v>
      </c>
    </row>
    <row r="589" spans="4:8" ht="15">
      <c r="D589" s="316">
        <v>1425</v>
      </c>
      <c r="E589" s="316" t="s">
        <v>445</v>
      </c>
      <c r="F589" s="322">
        <v>40929</v>
      </c>
      <c r="G589" s="243">
        <f t="shared" si="26"/>
        <v>40929</v>
      </c>
      <c r="H589" s="244">
        <f t="shared" si="27"/>
        <v>0</v>
      </c>
    </row>
    <row r="590" spans="4:8" ht="15">
      <c r="D590" s="316">
        <v>2370</v>
      </c>
      <c r="E590" s="316" t="s">
        <v>256</v>
      </c>
      <c r="F590" s="322">
        <v>38137</v>
      </c>
      <c r="G590" s="243">
        <f t="shared" si="26"/>
        <v>38137</v>
      </c>
      <c r="H590" s="244">
        <f t="shared" si="27"/>
        <v>0</v>
      </c>
    </row>
    <row r="591" spans="4:8" ht="15">
      <c r="D591" s="316">
        <v>32094</v>
      </c>
      <c r="E591" s="316" t="s">
        <v>257</v>
      </c>
      <c r="F591" s="322">
        <v>50389</v>
      </c>
      <c r="G591" s="243">
        <f t="shared" si="26"/>
        <v>50389</v>
      </c>
      <c r="H591" s="244">
        <f t="shared" si="27"/>
        <v>0</v>
      </c>
    </row>
    <row r="592" spans="4:8" ht="15">
      <c r="D592" s="316">
        <v>2790</v>
      </c>
      <c r="E592" s="316" t="s">
        <v>258</v>
      </c>
      <c r="F592" s="322">
        <v>4858</v>
      </c>
      <c r="G592" s="243">
        <f t="shared" si="26"/>
        <v>4858</v>
      </c>
      <c r="H592" s="244">
        <f t="shared" si="27"/>
        <v>0</v>
      </c>
    </row>
    <row r="593" spans="4:8" ht="15">
      <c r="D593" s="316">
        <v>3330</v>
      </c>
      <c r="E593" s="316" t="s">
        <v>259</v>
      </c>
      <c r="F593" s="322">
        <v>108747</v>
      </c>
      <c r="G593" s="243">
        <f t="shared" si="26"/>
        <v>108747</v>
      </c>
      <c r="H593" s="244">
        <f t="shared" si="27"/>
        <v>0</v>
      </c>
    </row>
    <row r="594" spans="4:8" ht="15">
      <c r="D594" s="316">
        <v>2080</v>
      </c>
      <c r="E594" s="316" t="s">
        <v>260</v>
      </c>
      <c r="F594" s="322">
        <v>131594</v>
      </c>
      <c r="G594" s="243">
        <f t="shared" si="26"/>
        <v>131594</v>
      </c>
      <c r="H594" s="244">
        <f t="shared" si="27"/>
        <v>0</v>
      </c>
    </row>
    <row r="595" spans="4:8" ht="15">
      <c r="D595" s="316">
        <v>4290</v>
      </c>
      <c r="E595" s="316" t="s">
        <v>261</v>
      </c>
      <c r="F595" s="322">
        <v>54028</v>
      </c>
      <c r="G595" s="243">
        <f t="shared" si="26"/>
        <v>54028</v>
      </c>
      <c r="H595" s="244">
        <f t="shared" si="27"/>
        <v>0</v>
      </c>
    </row>
    <row r="596" spans="4:8" ht="15">
      <c r="D596" s="316">
        <v>2270</v>
      </c>
      <c r="E596" s="316" t="s">
        <v>262</v>
      </c>
      <c r="F596" s="322">
        <v>1858</v>
      </c>
      <c r="G596" s="243">
        <f t="shared" si="26"/>
        <v>1858</v>
      </c>
      <c r="H596" s="244">
        <f t="shared" si="27"/>
        <v>0</v>
      </c>
    </row>
    <row r="597" spans="4:8" ht="15">
      <c r="D597" s="316">
        <v>2300</v>
      </c>
      <c r="E597" s="316" t="s">
        <v>263</v>
      </c>
      <c r="F597" s="322">
        <v>20760</v>
      </c>
      <c r="G597" s="243">
        <f t="shared" si="26"/>
        <v>20760</v>
      </c>
      <c r="H597" s="244">
        <f t="shared" si="27"/>
        <v>0</v>
      </c>
    </row>
    <row r="598" spans="4:8" ht="15">
      <c r="D598" s="316">
        <v>2720</v>
      </c>
      <c r="E598" s="316" t="s">
        <v>264</v>
      </c>
      <c r="F598" s="322">
        <v>164041</v>
      </c>
      <c r="G598" s="243">
        <f t="shared" si="26"/>
        <v>164041</v>
      </c>
      <c r="H598" s="244">
        <f t="shared" si="27"/>
        <v>0</v>
      </c>
    </row>
    <row r="599" spans="4:8" ht="15">
      <c r="D599" s="316">
        <v>2750</v>
      </c>
      <c r="E599" s="316" t="s">
        <v>265</v>
      </c>
      <c r="F599" s="322">
        <v>9990</v>
      </c>
      <c r="G599" s="243">
        <f t="shared" si="26"/>
        <v>9990</v>
      </c>
      <c r="H599" s="244">
        <f t="shared" si="27"/>
        <v>0</v>
      </c>
    </row>
    <row r="600" spans="4:8" ht="15">
      <c r="D600" s="316">
        <v>2770</v>
      </c>
      <c r="E600" s="316" t="s">
        <v>266</v>
      </c>
      <c r="F600" s="322">
        <v>143858</v>
      </c>
      <c r="G600" s="243">
        <f t="shared" si="26"/>
        <v>143858</v>
      </c>
      <c r="H600" s="244">
        <f t="shared" si="27"/>
        <v>0</v>
      </c>
    </row>
    <row r="601" spans="4:8" ht="15">
      <c r="D601" s="316">
        <v>32106</v>
      </c>
      <c r="E601" s="316" t="s">
        <v>267</v>
      </c>
      <c r="F601" s="322">
        <v>7764</v>
      </c>
      <c r="G601" s="243">
        <f t="shared" si="26"/>
        <v>7764</v>
      </c>
      <c r="H601" s="244">
        <f t="shared" si="27"/>
        <v>0</v>
      </c>
    </row>
    <row r="602" spans="4:8" ht="15">
      <c r="D602" s="316">
        <v>4180</v>
      </c>
      <c r="E602" s="316" t="s">
        <v>268</v>
      </c>
      <c r="F602" s="322">
        <v>15154</v>
      </c>
      <c r="G602" s="243">
        <f t="shared" si="26"/>
        <v>15154</v>
      </c>
      <c r="H602" s="244">
        <f t="shared" si="27"/>
        <v>0</v>
      </c>
    </row>
    <row r="603" spans="4:8" ht="15">
      <c r="D603" s="316">
        <v>21063</v>
      </c>
      <c r="E603" s="316" t="s">
        <v>269</v>
      </c>
      <c r="F603" s="322">
        <v>251804</v>
      </c>
      <c r="G603" s="243">
        <f t="shared" si="26"/>
        <v>251804</v>
      </c>
      <c r="H603" s="244">
        <f t="shared" si="27"/>
        <v>0</v>
      </c>
    </row>
    <row r="604" spans="4:8" ht="15">
      <c r="D604" s="316">
        <v>10033</v>
      </c>
      <c r="E604" s="316" t="s">
        <v>270</v>
      </c>
      <c r="F604" s="322">
        <v>157646</v>
      </c>
      <c r="G604" s="243">
        <f t="shared" si="26"/>
        <v>157646</v>
      </c>
      <c r="H604" s="244">
        <f t="shared" si="27"/>
        <v>0</v>
      </c>
    </row>
    <row r="605" spans="4:8" ht="15">
      <c r="D605" s="316">
        <v>15049</v>
      </c>
      <c r="E605" s="316" t="s">
        <v>271</v>
      </c>
      <c r="F605" s="322">
        <v>192442</v>
      </c>
      <c r="G605" s="243">
        <f t="shared" si="26"/>
        <v>192442</v>
      </c>
      <c r="H605" s="244">
        <f t="shared" si="27"/>
        <v>0</v>
      </c>
    </row>
    <row r="606" spans="4:8" ht="15">
      <c r="D606" s="316">
        <v>1315</v>
      </c>
      <c r="E606" s="316" t="s">
        <v>272</v>
      </c>
      <c r="F606" s="322">
        <v>104797</v>
      </c>
      <c r="G606" s="243">
        <f t="shared" si="26"/>
        <v>104797</v>
      </c>
      <c r="H606" s="244">
        <f t="shared" si="27"/>
        <v>0</v>
      </c>
    </row>
    <row r="607" spans="4:8" ht="15">
      <c r="D607" s="316">
        <v>3340</v>
      </c>
      <c r="E607" s="316" t="s">
        <v>273</v>
      </c>
      <c r="F607" s="322">
        <v>33777</v>
      </c>
      <c r="G607" s="243">
        <f t="shared" si="26"/>
        <v>33777</v>
      </c>
      <c r="H607" s="244">
        <f t="shared" si="27"/>
        <v>0</v>
      </c>
    </row>
    <row r="608" spans="4:8" ht="15">
      <c r="D608" s="316">
        <v>3350</v>
      </c>
      <c r="E608" s="316" t="s">
        <v>274</v>
      </c>
      <c r="F608" s="322">
        <v>267940</v>
      </c>
      <c r="G608" s="243">
        <f t="shared" si="26"/>
        <v>267940</v>
      </c>
      <c r="H608" s="244">
        <f t="shared" si="27"/>
        <v>0</v>
      </c>
    </row>
    <row r="609" spans="4:8" ht="15">
      <c r="D609" s="316">
        <v>24073</v>
      </c>
      <c r="E609" s="316" t="s">
        <v>275</v>
      </c>
      <c r="F609" s="322">
        <v>31042</v>
      </c>
      <c r="G609" s="243">
        <f t="shared" si="26"/>
        <v>31042</v>
      </c>
      <c r="H609" s="244">
        <f t="shared" si="27"/>
        <v>0</v>
      </c>
    </row>
    <row r="610" spans="4:8" ht="15">
      <c r="D610" s="316">
        <v>2100</v>
      </c>
      <c r="E610" s="316" t="s">
        <v>276</v>
      </c>
      <c r="F610" s="322">
        <v>29439</v>
      </c>
      <c r="G610" s="243">
        <f t="shared" si="26"/>
        <v>29439</v>
      </c>
      <c r="H610" s="244">
        <f t="shared" si="27"/>
        <v>0</v>
      </c>
    </row>
    <row r="611" spans="4:8" ht="15">
      <c r="D611" s="316">
        <v>2130</v>
      </c>
      <c r="E611" s="316" t="s">
        <v>277</v>
      </c>
      <c r="F611" s="322">
        <v>9501</v>
      </c>
      <c r="G611" s="243">
        <f t="shared" si="26"/>
        <v>9501</v>
      </c>
      <c r="H611" s="244">
        <f t="shared" si="27"/>
        <v>0</v>
      </c>
    </row>
    <row r="612" spans="4:8" ht="15">
      <c r="D612" s="316">
        <v>32099</v>
      </c>
      <c r="E612" s="316" t="s">
        <v>278</v>
      </c>
      <c r="F612" s="322">
        <v>11975</v>
      </c>
      <c r="G612" s="243">
        <f t="shared" si="26"/>
        <v>11975</v>
      </c>
      <c r="H612" s="244">
        <f t="shared" si="27"/>
        <v>0</v>
      </c>
    </row>
    <row r="613" spans="4:8" ht="15">
      <c r="D613" s="316">
        <v>32100</v>
      </c>
      <c r="E613" s="316" t="s">
        <v>279</v>
      </c>
      <c r="F613" s="322">
        <v>22885</v>
      </c>
      <c r="G613" s="243">
        <f t="shared" si="26"/>
        <v>22885</v>
      </c>
      <c r="H613" s="244">
        <f t="shared" si="27"/>
        <v>0</v>
      </c>
    </row>
    <row r="614" spans="4:8" ht="15">
      <c r="D614" s="316">
        <v>32101</v>
      </c>
      <c r="E614" s="316" t="s">
        <v>280</v>
      </c>
      <c r="F614" s="322">
        <v>8124</v>
      </c>
      <c r="G614" s="243">
        <f t="shared" si="26"/>
        <v>8124</v>
      </c>
      <c r="H614" s="244">
        <f t="shared" si="27"/>
        <v>0</v>
      </c>
    </row>
    <row r="615" spans="4:8" ht="15">
      <c r="D615" s="316">
        <v>32102</v>
      </c>
      <c r="E615" s="316" t="s">
        <v>281</v>
      </c>
      <c r="F615" s="322">
        <v>13236</v>
      </c>
      <c r="G615" s="243">
        <f t="shared" si="26"/>
        <v>13236</v>
      </c>
      <c r="H615" s="244">
        <f t="shared" si="27"/>
        <v>0</v>
      </c>
    </row>
    <row r="616" spans="4:8" ht="15">
      <c r="D616" s="316">
        <v>2880</v>
      </c>
      <c r="E616" s="316" t="s">
        <v>282</v>
      </c>
      <c r="F616" s="322">
        <v>4583</v>
      </c>
      <c r="G616" s="243">
        <f t="shared" si="26"/>
        <v>4583</v>
      </c>
      <c r="H616" s="244">
        <f t="shared" si="27"/>
        <v>0</v>
      </c>
    </row>
    <row r="617" spans="4:8" ht="15">
      <c r="D617" s="316">
        <v>2490</v>
      </c>
      <c r="E617" s="316" t="s">
        <v>283</v>
      </c>
      <c r="F617" s="322">
        <v>37419</v>
      </c>
      <c r="G617" s="243">
        <f t="shared" si="26"/>
        <v>37419</v>
      </c>
      <c r="H617" s="244">
        <f t="shared" si="27"/>
        <v>0</v>
      </c>
    </row>
    <row r="618" spans="4:8" ht="15">
      <c r="D618" s="316">
        <v>2530</v>
      </c>
      <c r="E618" s="316" t="s">
        <v>284</v>
      </c>
      <c r="F618" s="322">
        <v>7057</v>
      </c>
      <c r="G618" s="243">
        <f t="shared" si="26"/>
        <v>7057</v>
      </c>
      <c r="H618" s="244">
        <f t="shared" si="27"/>
        <v>0</v>
      </c>
    </row>
    <row r="619" spans="4:8" ht="15">
      <c r="D619" s="316">
        <v>2560</v>
      </c>
      <c r="E619" s="316" t="s">
        <v>285</v>
      </c>
      <c r="F619" s="322">
        <v>19825</v>
      </c>
      <c r="G619" s="243">
        <f t="shared" si="26"/>
        <v>19825</v>
      </c>
      <c r="H619" s="244">
        <f t="shared" si="27"/>
        <v>0</v>
      </c>
    </row>
    <row r="620" spans="4:8" ht="15">
      <c r="D620" s="316">
        <v>2610</v>
      </c>
      <c r="E620" s="315" t="s">
        <v>286</v>
      </c>
      <c r="F620" s="322">
        <v>3957</v>
      </c>
      <c r="G620" s="243">
        <f t="shared" si="26"/>
        <v>3957</v>
      </c>
      <c r="H620" s="244">
        <f t="shared" si="27"/>
        <v>0</v>
      </c>
    </row>
    <row r="621" spans="4:8" ht="15">
      <c r="D621" s="316">
        <v>2800</v>
      </c>
      <c r="E621" s="316" t="s">
        <v>287</v>
      </c>
      <c r="F621" s="322">
        <v>11841</v>
      </c>
      <c r="G621" s="243">
        <f t="shared" si="26"/>
        <v>11841</v>
      </c>
      <c r="H621" s="244">
        <f t="shared" si="27"/>
        <v>0</v>
      </c>
    </row>
    <row r="622" spans="4:8" ht="15">
      <c r="D622" s="316">
        <v>20317</v>
      </c>
      <c r="E622" s="316" t="s">
        <v>288</v>
      </c>
      <c r="F622" s="322">
        <v>19716</v>
      </c>
      <c r="G622" s="243">
        <f t="shared" si="26"/>
        <v>19716</v>
      </c>
      <c r="H622" s="244">
        <f t="shared" si="27"/>
        <v>0</v>
      </c>
    </row>
    <row r="623" spans="4:8" ht="15">
      <c r="D623" s="316">
        <v>2442</v>
      </c>
      <c r="E623" s="316" t="s">
        <v>426</v>
      </c>
      <c r="F623" s="322">
        <v>18324</v>
      </c>
      <c r="G623" s="243">
        <f t="shared" si="26"/>
        <v>18324</v>
      </c>
      <c r="H623" s="244">
        <f t="shared" si="27"/>
        <v>0</v>
      </c>
    </row>
    <row r="624" spans="4:8" ht="15">
      <c r="D624" s="316">
        <v>30090</v>
      </c>
      <c r="E624" s="316" t="s">
        <v>289</v>
      </c>
      <c r="F624" s="322">
        <v>35592</v>
      </c>
      <c r="G624" s="243">
        <f t="shared" si="26"/>
        <v>35592</v>
      </c>
      <c r="H624" s="244">
        <f t="shared" si="27"/>
        <v>0</v>
      </c>
    </row>
    <row r="625" spans="4:8" ht="15">
      <c r="D625" s="316">
        <v>29330</v>
      </c>
      <c r="E625" s="319" t="s">
        <v>290</v>
      </c>
      <c r="F625" s="322">
        <v>17820</v>
      </c>
      <c r="G625" s="243">
        <f t="shared" si="26"/>
        <v>17820</v>
      </c>
      <c r="H625" s="244">
        <f t="shared" si="27"/>
        <v>0</v>
      </c>
    </row>
    <row r="626" spans="4:8" ht="15">
      <c r="D626" s="316">
        <v>12038</v>
      </c>
      <c r="E626" s="319" t="s">
        <v>291</v>
      </c>
      <c r="F626" s="322">
        <v>301499</v>
      </c>
      <c r="G626" s="243">
        <f t="shared" si="26"/>
        <v>301499</v>
      </c>
      <c r="H626" s="244">
        <f t="shared" si="27"/>
        <v>0</v>
      </c>
    </row>
    <row r="627" spans="4:8">
      <c r="D627" s="191">
        <v>8099</v>
      </c>
      <c r="E627" s="191" t="s">
        <v>292</v>
      </c>
      <c r="F627" s="362">
        <v>537109</v>
      </c>
      <c r="G627" s="243">
        <f t="shared" si="26"/>
        <v>537109</v>
      </c>
      <c r="H627" s="244">
        <f t="shared" si="27"/>
        <v>0</v>
      </c>
    </row>
    <row r="628" spans="4:8">
      <c r="D628" s="191">
        <v>2417</v>
      </c>
      <c r="E628" s="191" t="s">
        <v>293</v>
      </c>
      <c r="F628" s="363">
        <v>10479</v>
      </c>
      <c r="G628" s="243">
        <f t="shared" si="26"/>
        <v>10479</v>
      </c>
      <c r="H628" s="244">
        <f t="shared" si="27"/>
        <v>0</v>
      </c>
    </row>
    <row r="629" spans="4:8">
      <c r="D629" s="191">
        <v>13142</v>
      </c>
      <c r="E629" s="191" t="s">
        <v>294</v>
      </c>
      <c r="F629" s="363">
        <v>328450</v>
      </c>
      <c r="G629" s="243">
        <f t="shared" si="26"/>
        <v>328450</v>
      </c>
      <c r="H629" s="244">
        <f t="shared" si="27"/>
        <v>0</v>
      </c>
    </row>
    <row r="630" spans="4:8">
      <c r="D630" s="191"/>
      <c r="E630" s="191"/>
      <c r="F630" s="352">
        <f>SUM(F322:F629)</f>
        <v>127360721</v>
      </c>
    </row>
    <row r="631" spans="4:8">
      <c r="D631" s="191"/>
      <c r="E631" s="191"/>
      <c r="F631" s="352">
        <f>+C316</f>
        <v>127360721</v>
      </c>
    </row>
    <row r="632" spans="4:8">
      <c r="F632" s="352">
        <f>+F630-F631</f>
        <v>0</v>
      </c>
    </row>
  </sheetData>
  <mergeCells count="3">
    <mergeCell ref="A1:D1"/>
    <mergeCell ref="A2:D2"/>
    <mergeCell ref="A3:D3"/>
  </mergeCells>
  <printOptions horizontalCentered="1"/>
  <pageMargins left="0.7" right="0.7" top="0.5" bottom="0.5" header="0.5" footer="0.5"/>
  <pageSetup scale="73" firstPageNumber="4" orientation="portrait" useFirstPageNumber="1" r:id="rId1"/>
  <headerFooter scaleWithDoc="0">
    <oddFooter>&amp;C&amp;"Arial,Regular"&amp;10&amp;P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6" max="3" man="1"/>
    <brk id="199" max="3" man="1"/>
    <brk id="258" max="3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08EE-58B2-4720-B5EF-731975F374BC}">
  <dimension ref="A1"/>
  <sheetViews>
    <sheetView workbookViewId="0"/>
  </sheetViews>
  <sheetFormatPr defaultColWidth="8.5703125" defaultRowHeight="15"/>
  <cols>
    <col min="1" max="16384" width="8.5703125" style="260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38"/>
  <sheetViews>
    <sheetView view="pageBreakPreview" topLeftCell="A230" zoomScaleNormal="100" zoomScaleSheetLayoutView="100" workbookViewId="0">
      <selection activeCell="D567" sqref="D567"/>
    </sheetView>
  </sheetViews>
  <sheetFormatPr defaultRowHeight="12" customHeight="1"/>
  <cols>
    <col min="1" max="1" width="10" customWidth="1"/>
    <col min="2" max="2" width="53.42578125" customWidth="1"/>
    <col min="3" max="3" width="14.42578125" bestFit="1" customWidth="1"/>
    <col min="4" max="4" width="12.42578125" style="181" customWidth="1"/>
    <col min="5" max="5" width="13.5703125" style="181" customWidth="1"/>
    <col min="6" max="6" width="13.5703125" style="190" customWidth="1"/>
    <col min="7" max="7" width="13.5703125" style="181" customWidth="1"/>
    <col min="8" max="8" width="13.5703125" customWidth="1"/>
    <col min="9" max="9" width="1" customWidth="1"/>
    <col min="10" max="10" width="13.5703125" customWidth="1"/>
    <col min="11" max="11" width="12.85546875" style="190" bestFit="1" customWidth="1"/>
    <col min="12" max="12" width="11.5703125" customWidth="1"/>
    <col min="13" max="13" width="13.5703125" customWidth="1"/>
    <col min="14" max="14" width="0.5703125" customWidth="1"/>
    <col min="15" max="15" width="13.5703125" customWidth="1"/>
    <col min="16" max="16" width="11.5703125" customWidth="1"/>
    <col min="17" max="17" width="14.42578125" bestFit="1" customWidth="1"/>
    <col min="18" max="18" width="13.5703125" bestFit="1" customWidth="1"/>
  </cols>
  <sheetData>
    <row r="1" spans="1:18" ht="15" customHeight="1">
      <c r="A1" s="429" t="s">
        <v>381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8" ht="15" customHeight="1">
      <c r="A2" s="430" t="s">
        <v>383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8" ht="15" customHeight="1">
      <c r="A3" s="430" t="s">
        <v>489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1:18" ht="15" customHeight="1"/>
    <row r="6" spans="1:18" ht="12" customHeight="1">
      <c r="A6" s="54"/>
      <c r="B6" s="54"/>
      <c r="C6" s="55"/>
      <c r="D6" s="431" t="s">
        <v>367</v>
      </c>
      <c r="E6" s="431"/>
      <c r="F6" s="431"/>
      <c r="G6" s="431"/>
      <c r="H6" s="431"/>
      <c r="I6" s="55"/>
      <c r="J6" s="431" t="s">
        <v>295</v>
      </c>
      <c r="K6" s="431"/>
      <c r="L6" s="431"/>
      <c r="M6" s="431"/>
      <c r="N6" s="54"/>
      <c r="O6" s="431" t="s">
        <v>386</v>
      </c>
      <c r="P6" s="431"/>
      <c r="Q6" s="431"/>
    </row>
    <row r="7" spans="1:18" ht="90.75" customHeight="1">
      <c r="A7" s="56" t="s">
        <v>0</v>
      </c>
      <c r="B7" s="56" t="s">
        <v>1</v>
      </c>
      <c r="C7" s="56" t="s">
        <v>488</v>
      </c>
      <c r="D7" s="56" t="s">
        <v>296</v>
      </c>
      <c r="E7" s="56" t="s">
        <v>297</v>
      </c>
      <c r="F7" s="281" t="s">
        <v>298</v>
      </c>
      <c r="G7" s="182" t="s">
        <v>368</v>
      </c>
      <c r="H7" s="182" t="s">
        <v>369</v>
      </c>
      <c r="I7" s="56"/>
      <c r="J7" s="56" t="s">
        <v>296</v>
      </c>
      <c r="K7" s="56" t="s">
        <v>298</v>
      </c>
      <c r="L7" s="56" t="s">
        <v>368</v>
      </c>
      <c r="M7" s="56" t="s">
        <v>299</v>
      </c>
      <c r="N7" s="56"/>
      <c r="O7" s="56" t="s">
        <v>388</v>
      </c>
      <c r="P7" s="56" t="s">
        <v>380</v>
      </c>
      <c r="Q7" s="56" t="s">
        <v>387</v>
      </c>
    </row>
    <row r="8" spans="1:18" ht="12" customHeight="1">
      <c r="A8" s="57"/>
      <c r="B8" s="58"/>
      <c r="C8" s="58">
        <v>3</v>
      </c>
      <c r="D8" s="58">
        <v>4</v>
      </c>
      <c r="E8" s="58">
        <v>5</v>
      </c>
      <c r="F8" s="91">
        <v>6</v>
      </c>
      <c r="G8" s="91">
        <v>7</v>
      </c>
      <c r="H8" s="58">
        <v>8</v>
      </c>
      <c r="I8" s="91"/>
      <c r="J8" s="58">
        <v>9</v>
      </c>
      <c r="K8" s="58">
        <v>10</v>
      </c>
      <c r="L8" s="58">
        <v>11</v>
      </c>
      <c r="M8" s="58">
        <v>12</v>
      </c>
      <c r="N8" s="58"/>
      <c r="O8" s="58">
        <v>13</v>
      </c>
      <c r="P8" s="58">
        <v>14</v>
      </c>
      <c r="Q8" s="58">
        <v>15</v>
      </c>
    </row>
    <row r="9" spans="1:18" ht="12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1:18" ht="12" customHeight="1">
      <c r="A10" s="59">
        <v>1341</v>
      </c>
      <c r="B10" s="60" t="s">
        <v>5</v>
      </c>
      <c r="C10" s="154">
        <f>ROUND(VLOOKUP(A10,'Contribution Allocation_Report'!$A$9:$D$314,4,FALSE)*'OPEB Amounts_Report'!$C$326,0)+1</f>
        <v>429939178</v>
      </c>
      <c r="D10" s="154">
        <f>ROUND(VLOOKUP(A10,'Contribution Allocation_Report'!$A$9:$D$314,4,FALSE)*'OPEB Amounts_Report'!$D$326,0)+1</f>
        <v>4607677</v>
      </c>
      <c r="E10" s="154">
        <f>ROUND(VLOOKUP(A10,'Contribution Allocation_Report'!$A$9:$D$314,4,FALSE)*'OPEB Amounts_Report'!$E$326,0)</f>
        <v>3843240</v>
      </c>
      <c r="F10" s="154">
        <f>ROUND(VLOOKUP(A10,'Contribution Allocation_Report'!$A$9:$D$314,4,FALSE)*'OPEB Amounts_Report'!$F$326,0)-1</f>
        <v>80452389</v>
      </c>
      <c r="G10" s="154">
        <f>INDEX('Change in Proportion Layers'!$AF$8:$AF$324,MATCH('OPEB Amounts_Report'!A10,'Change in Proportion Layers'!$A$8:$A$324,0))</f>
        <v>9302646</v>
      </c>
      <c r="H10" s="154">
        <f>SUM(D10:G10)</f>
        <v>98205952</v>
      </c>
      <c r="I10" s="154"/>
      <c r="J10" s="154">
        <f>ROUND(VLOOKUP(A10,'Contribution Allocation_Report'!$A$9:$D$314,4,FALSE)*'OPEB Amounts_Report'!$J$326,0)-11</f>
        <v>44909020</v>
      </c>
      <c r="K10" s="154">
        <f>ROUND(VLOOKUP(A10,'Contribution Allocation_Report'!$A$9:$D$314,4,FALSE)*'OPEB Amounts_Report'!$K$326,0)</f>
        <v>272640321</v>
      </c>
      <c r="L10" s="156">
        <f>INDEX('Change in Proportion Layers'!$AG$8:$AG$324,MATCH('OPEB Amounts_Report'!A10,'Change in Proportion Layers'!$A$8:$A$324,0))</f>
        <v>8975708</v>
      </c>
      <c r="M10" s="154">
        <f t="shared" ref="M10:M73" si="0">SUM(J10:L10)</f>
        <v>326525049</v>
      </c>
      <c r="N10" s="155"/>
      <c r="O10" s="155">
        <f>ROUND(VLOOKUP(A10,'Contribution Allocation_Report'!$A$9:$D$314,4,FALSE)*'OPEB Amounts_Report'!$O$326,0)+2</f>
        <v>-87516973</v>
      </c>
      <c r="P10" s="155">
        <f>INDEX('Change in Proportion Layers'!$AD$8:$AD$324,MATCH('OPEB Amounts_Report'!A10,'Change in Proportion Layers'!$A$8:$A$324,0))</f>
        <v>-1105848</v>
      </c>
      <c r="Q10" s="155">
        <f>+O10+P10</f>
        <v>-88622821</v>
      </c>
      <c r="R10" s="152"/>
    </row>
    <row r="11" spans="1:18" ht="12" customHeight="1">
      <c r="A11" s="61">
        <v>2308</v>
      </c>
      <c r="B11" s="62" t="s">
        <v>6</v>
      </c>
      <c r="C11" s="84">
        <f>ROUND(VLOOKUP(A11,'Contribution Allocation_Report'!$A$9:$D$314,4,FALSE)*'OPEB Amounts_Report'!$C$326,0)</f>
        <v>817253</v>
      </c>
      <c r="D11" s="84">
        <f>ROUND(VLOOKUP(A11,'Contribution Allocation_Report'!$A$9:$D$314,4,FALSE)*'OPEB Amounts_Report'!$D$326,0)</f>
        <v>8759</v>
      </c>
      <c r="E11" s="84">
        <f>ROUND(VLOOKUP(A11,'Contribution Allocation_Report'!$A$9:$D$314,4,FALSE)*'OPEB Amounts_Report'!$E$326,0)</f>
        <v>7305</v>
      </c>
      <c r="F11" s="84">
        <f>ROUND(VLOOKUP(A11,'Contribution Allocation_Report'!$A$9:$D$314,4,FALSE)*'OPEB Amounts_Report'!$F$326,0)</f>
        <v>152929</v>
      </c>
      <c r="G11" s="84">
        <f>INDEX('Change in Proportion Layers'!$AF$8:$AF$324,MATCH('OPEB Amounts_Report'!A11,'Change in Proportion Layers'!$A$8:$A$324,0))</f>
        <v>298441</v>
      </c>
      <c r="H11" s="84">
        <f t="shared" ref="H11:H74" si="1">SUM(D11:G11)</f>
        <v>467434</v>
      </c>
      <c r="I11" s="84"/>
      <c r="J11" s="84">
        <f>ROUND(VLOOKUP(A11,'Contribution Allocation_Report'!$A$9:$D$314,4,FALSE)*'OPEB Amounts_Report'!$J$326,0)</f>
        <v>85366</v>
      </c>
      <c r="K11" s="84">
        <f>ROUND(VLOOKUP(A11,'Contribution Allocation_Report'!$A$9:$D$314,4,FALSE)*'OPEB Amounts_Report'!$K$326,0)</f>
        <v>518251</v>
      </c>
      <c r="L11" s="84">
        <f>INDEX('Change in Proportion Layers'!$AG$8:$AG$324,MATCH('OPEB Amounts_Report'!A11,'Change in Proportion Layers'!$A$8:$A$324,0))</f>
        <v>5384</v>
      </c>
      <c r="M11" s="84">
        <f t="shared" si="0"/>
        <v>609001</v>
      </c>
      <c r="N11" s="85"/>
      <c r="O11" s="85">
        <f>ROUND(VLOOKUP(A11,'Contribution Allocation_Report'!$A$9:$D$314,4,FALSE)*'OPEB Amounts_Report'!$O$326,0)</f>
        <v>-166357</v>
      </c>
      <c r="P11" s="85">
        <f>INDEX('Change in Proportion Layers'!$AD$8:$AD$324,MATCH('OPEB Amounts_Report'!A11,'Change in Proportion Layers'!$A$8:$A$324,0))</f>
        <v>139677</v>
      </c>
      <c r="Q11" s="85">
        <f t="shared" ref="Q11:Q74" si="2">+O11+P11</f>
        <v>-26680</v>
      </c>
    </row>
    <row r="12" spans="1:18" ht="12" customHeight="1">
      <c r="A12" s="59">
        <v>2340</v>
      </c>
      <c r="B12" s="63" t="s">
        <v>7</v>
      </c>
      <c r="C12" s="67">
        <f>ROUND(VLOOKUP(A12,'Contribution Allocation_Report'!$A$9:$D$314,4,FALSE)*'OPEB Amounts_Report'!$C$326,0)</f>
        <v>792015</v>
      </c>
      <c r="D12" s="67">
        <f>ROUND(VLOOKUP(A12,'Contribution Allocation_Report'!$A$9:$D$314,4,FALSE)*'OPEB Amounts_Report'!$D$326,0)</f>
        <v>8488</v>
      </c>
      <c r="E12" s="67">
        <f>ROUND(VLOOKUP(A12,'Contribution Allocation_Report'!$A$9:$D$314,4,FALSE)*'OPEB Amounts_Report'!$E$326,0)</f>
        <v>7080</v>
      </c>
      <c r="F12" s="67">
        <f>ROUND(VLOOKUP(A12,'Contribution Allocation_Report'!$A$9:$D$314,4,FALSE)*'OPEB Amounts_Report'!$F$326,0)</f>
        <v>148206</v>
      </c>
      <c r="G12" s="67">
        <f>INDEX('Change in Proportion Layers'!$AF$8:$AF$324,MATCH('OPEB Amounts_Report'!A12,'Change in Proportion Layers'!$A$8:$A$324,0))</f>
        <v>128831</v>
      </c>
      <c r="H12" s="67">
        <f t="shared" si="1"/>
        <v>292605</v>
      </c>
      <c r="I12" s="67"/>
      <c r="J12" s="67">
        <f>ROUND(VLOOKUP(A12,'Contribution Allocation_Report'!$A$9:$D$314,4,FALSE)*'OPEB Amounts_Report'!$J$326,0)</f>
        <v>82729</v>
      </c>
      <c r="K12" s="67">
        <f>ROUND(VLOOKUP(A12,'Contribution Allocation_Report'!$A$9:$D$314,4,FALSE)*'OPEB Amounts_Report'!$K$326,0)</f>
        <v>502246</v>
      </c>
      <c r="L12" s="67">
        <f>INDEX('Change in Proportion Layers'!$AG$8:$AG$324,MATCH('OPEB Amounts_Report'!A12,'Change in Proportion Layers'!$A$8:$A$324,0))</f>
        <v>20292</v>
      </c>
      <c r="M12" s="67">
        <f t="shared" si="0"/>
        <v>605267</v>
      </c>
      <c r="N12" s="68"/>
      <c r="O12" s="68">
        <f>ROUND(VLOOKUP(A12,'Contribution Allocation_Report'!$A$9:$D$314,4,FALSE)*'OPEB Amounts_Report'!$O$326,0)</f>
        <v>-161220</v>
      </c>
      <c r="P12" s="68">
        <f>INDEX('Change in Proportion Layers'!$AD$8:$AD$324,MATCH('OPEB Amounts_Report'!A12,'Change in Proportion Layers'!$A$8:$A$324,0))</f>
        <v>16702</v>
      </c>
      <c r="Q12" s="68">
        <f t="shared" si="2"/>
        <v>-144518</v>
      </c>
    </row>
    <row r="13" spans="1:18" ht="12" customHeight="1">
      <c r="A13" s="61">
        <v>1301</v>
      </c>
      <c r="B13" s="62" t="s">
        <v>8</v>
      </c>
      <c r="C13" s="84">
        <f>ROUND(VLOOKUP(A13,'Contribution Allocation_Report'!$A$9:$D$314,4,FALSE)*'OPEB Amounts_Report'!$C$326,0)</f>
        <v>914481</v>
      </c>
      <c r="D13" s="84">
        <f>ROUND(VLOOKUP(A13,'Contribution Allocation_Report'!$A$9:$D$314,4,FALSE)*'OPEB Amounts_Report'!$D$326,0)</f>
        <v>9801</v>
      </c>
      <c r="E13" s="84">
        <f>ROUND(VLOOKUP(A13,'Contribution Allocation_Report'!$A$9:$D$314,4,FALSE)*'OPEB Amounts_Report'!$E$326,0)</f>
        <v>8175</v>
      </c>
      <c r="F13" s="84">
        <f>ROUND(VLOOKUP(A13,'Contribution Allocation_Report'!$A$9:$D$314,4,FALSE)*'OPEB Amounts_Report'!$F$326,0)</f>
        <v>171122</v>
      </c>
      <c r="G13" s="84">
        <f>INDEX('Change in Proportion Layers'!$AF$8:$AF$324,MATCH('OPEB Amounts_Report'!A13,'Change in Proportion Layers'!$A$8:$A$324,0))</f>
        <v>190832</v>
      </c>
      <c r="H13" s="84">
        <f t="shared" si="1"/>
        <v>379930</v>
      </c>
      <c r="I13" s="84"/>
      <c r="J13" s="84">
        <f>ROUND(VLOOKUP(A13,'Contribution Allocation_Report'!$A$9:$D$314,4,FALSE)*'OPEB Amounts_Report'!$J$326,0)</f>
        <v>95522</v>
      </c>
      <c r="K13" s="84">
        <f>ROUND(VLOOKUP(A13,'Contribution Allocation_Report'!$A$9:$D$314,4,FALSE)*'OPEB Amounts_Report'!$K$326,0)</f>
        <v>579906</v>
      </c>
      <c r="L13" s="84">
        <f>INDEX('Change in Proportion Layers'!$AG$8:$AG$324,MATCH('OPEB Amounts_Report'!A13,'Change in Proportion Layers'!$A$8:$A$324,0))</f>
        <v>19895</v>
      </c>
      <c r="M13" s="84">
        <f t="shared" si="0"/>
        <v>695323</v>
      </c>
      <c r="N13" s="85"/>
      <c r="O13" s="85">
        <f>ROUND(VLOOKUP(A13,'Contribution Allocation_Report'!$A$9:$D$314,4,FALSE)*'OPEB Amounts_Report'!$O$326,0)</f>
        <v>-186149</v>
      </c>
      <c r="P13" s="85">
        <f>INDEX('Change in Proportion Layers'!$AD$8:$AD$324,MATCH('OPEB Amounts_Report'!A13,'Change in Proportion Layers'!$A$8:$A$324,0))</f>
        <v>84122</v>
      </c>
      <c r="Q13" s="85">
        <f t="shared" si="2"/>
        <v>-102027</v>
      </c>
    </row>
    <row r="14" spans="1:18" ht="12" customHeight="1">
      <c r="A14" s="59">
        <v>2390</v>
      </c>
      <c r="B14" s="63" t="s">
        <v>9</v>
      </c>
      <c r="C14" s="67">
        <f>ROUND(VLOOKUP(A14,'Contribution Allocation_Report'!$A$9:$D$314,4,FALSE)*'OPEB Amounts_Report'!$C$326,0)</f>
        <v>728616</v>
      </c>
      <c r="D14" s="67">
        <f>ROUND(VLOOKUP(A14,'Contribution Allocation_Report'!$A$9:$D$314,4,FALSE)*'OPEB Amounts_Report'!$D$326,0)</f>
        <v>7809</v>
      </c>
      <c r="E14" s="67">
        <f>ROUND(VLOOKUP(A14,'Contribution Allocation_Report'!$A$9:$D$314,4,FALSE)*'OPEB Amounts_Report'!$E$326,0)</f>
        <v>6513</v>
      </c>
      <c r="F14" s="67">
        <f>ROUND(VLOOKUP(A14,'Contribution Allocation_Report'!$A$9:$D$314,4,FALSE)*'OPEB Amounts_Report'!$F$326,0)</f>
        <v>136342</v>
      </c>
      <c r="G14" s="67">
        <f>INDEX('Change in Proportion Layers'!$AF$8:$AF$324,MATCH('OPEB Amounts_Report'!A14,'Change in Proportion Layers'!$A$8:$A$324,0))</f>
        <v>248789</v>
      </c>
      <c r="H14" s="67">
        <f t="shared" si="1"/>
        <v>399453</v>
      </c>
      <c r="I14" s="67"/>
      <c r="J14" s="67">
        <f>ROUND(VLOOKUP(A14,'Contribution Allocation_Report'!$A$9:$D$314,4,FALSE)*'OPEB Amounts_Report'!$J$326,0)</f>
        <v>76107</v>
      </c>
      <c r="K14" s="67">
        <f>ROUND(VLOOKUP(A14,'Contribution Allocation_Report'!$A$9:$D$314,4,FALSE)*'OPEB Amounts_Report'!$K$326,0)</f>
        <v>462043</v>
      </c>
      <c r="L14" s="67">
        <f>INDEX('Change in Proportion Layers'!$AG$8:$AG$324,MATCH('OPEB Amounts_Report'!A14,'Change in Proportion Layers'!$A$8:$A$324,0))</f>
        <v>25667</v>
      </c>
      <c r="M14" s="67">
        <f t="shared" si="0"/>
        <v>563817</v>
      </c>
      <c r="N14" s="68"/>
      <c r="O14" s="68">
        <f>ROUND(VLOOKUP(A14,'Contribution Allocation_Report'!$A$9:$D$314,4,FALSE)*'OPEB Amounts_Report'!$O$326,0)</f>
        <v>-148315</v>
      </c>
      <c r="P14" s="68">
        <f>INDEX('Change in Proportion Layers'!$AD$8:$AD$324,MATCH('OPEB Amounts_Report'!A14,'Change in Proportion Layers'!$A$8:$A$324,0))</f>
        <v>11850</v>
      </c>
      <c r="Q14" s="68">
        <f t="shared" si="2"/>
        <v>-136465</v>
      </c>
    </row>
    <row r="15" spans="1:18" s="190" customFormat="1" ht="12" customHeight="1">
      <c r="A15" s="227">
        <v>2441</v>
      </c>
      <c r="B15" s="228" t="s">
        <v>419</v>
      </c>
      <c r="C15" s="84">
        <f>ROUND(VLOOKUP(A15,'Contribution Allocation_Report'!$A$9:$D$314,4,FALSE)*'OPEB Amounts_Report'!$C$326,0)</f>
        <v>335867</v>
      </c>
      <c r="D15" s="84">
        <f>ROUND(VLOOKUP(A15,'Contribution Allocation_Report'!$A$9:$D$314,4,FALSE)*'OPEB Amounts_Report'!$D$326,0)</f>
        <v>3600</v>
      </c>
      <c r="E15" s="84">
        <f>ROUND(VLOOKUP(A15,'Contribution Allocation_Report'!$A$9:$D$314,4,FALSE)*'OPEB Amounts_Report'!$E$326,0)</f>
        <v>3002</v>
      </c>
      <c r="F15" s="84">
        <f>ROUND(VLOOKUP(A15,'Contribution Allocation_Report'!$A$9:$D$314,4,FALSE)*'OPEB Amounts_Report'!$F$326,0)</f>
        <v>62849</v>
      </c>
      <c r="G15" s="84">
        <f>INDEX('Change in Proportion Layers'!$AF$8:$AF$324,MATCH('OPEB Amounts_Report'!A15,'Change in Proportion Layers'!$A$8:$A$324,0))</f>
        <v>482613</v>
      </c>
      <c r="H15" s="84">
        <f t="shared" si="1"/>
        <v>552064</v>
      </c>
      <c r="I15" s="84"/>
      <c r="J15" s="84">
        <f>ROUND(VLOOKUP(A15,'Contribution Allocation_Report'!$A$9:$D$314,4,FALSE)*'OPEB Amounts_Report'!$J$326,0)</f>
        <v>35083</v>
      </c>
      <c r="K15" s="84">
        <f>ROUND(VLOOKUP(A15,'Contribution Allocation_Report'!$A$9:$D$314,4,FALSE)*'OPEB Amounts_Report'!$K$326,0)</f>
        <v>212986</v>
      </c>
      <c r="L15" s="251">
        <f>INDEX('Change in Proportion Layers'!$AG$8:$AG$324,MATCH('OPEB Amounts_Report'!A15,'Change in Proportion Layers'!$A$8:$A$324,0))</f>
        <v>93674</v>
      </c>
      <c r="M15" s="84">
        <f t="shared" si="0"/>
        <v>341743</v>
      </c>
      <c r="N15" s="85"/>
      <c r="O15" s="85">
        <f>ROUND(VLOOKUP(A15,'Contribution Allocation_Report'!$A$9:$D$314,4,FALSE)*'OPEB Amounts_Report'!$O$326,0)</f>
        <v>-68368</v>
      </c>
      <c r="P15" s="85">
        <f>INDEX('Change in Proportion Layers'!$AD$8:$AD$324,MATCH('OPEB Amounts_Report'!A15,'Change in Proportion Layers'!$A$8:$A$324,0))</f>
        <v>139748</v>
      </c>
      <c r="Q15" s="85">
        <f t="shared" si="2"/>
        <v>71380</v>
      </c>
    </row>
    <row r="16" spans="1:18" ht="12" customHeight="1">
      <c r="A16" s="59">
        <v>15046</v>
      </c>
      <c r="B16" s="63" t="s">
        <v>10</v>
      </c>
      <c r="C16" s="67">
        <f>ROUND(VLOOKUP(A16,'Contribution Allocation_Report'!$A$9:$D$314,4,FALSE)*'OPEB Amounts_Report'!$C$326,0)</f>
        <v>13474561</v>
      </c>
      <c r="D16" s="67">
        <f>ROUND(VLOOKUP(A16,'Contribution Allocation_Report'!$A$9:$D$314,4,FALSE)*'OPEB Amounts_Report'!$D$326,0)</f>
        <v>144407</v>
      </c>
      <c r="E16" s="67">
        <f>ROUND(VLOOKUP(A16,'Contribution Allocation_Report'!$A$9:$D$314,4,FALSE)*'OPEB Amounts_Report'!$E$326,0)</f>
        <v>120450</v>
      </c>
      <c r="F16" s="67">
        <f>ROUND(VLOOKUP(A16,'Contribution Allocation_Report'!$A$9:$D$314,4,FALSE)*'OPEB Amounts_Report'!$F$326,0)</f>
        <v>2521428</v>
      </c>
      <c r="G16" s="250">
        <f>INDEX('Change in Proportion Layers'!$AF$8:$AF$324,MATCH('OPEB Amounts_Report'!A16,'Change in Proportion Layers'!$A$8:$A$324,0))</f>
        <v>2517608</v>
      </c>
      <c r="H16" s="67">
        <f t="shared" si="1"/>
        <v>5303893</v>
      </c>
      <c r="I16" s="67"/>
      <c r="J16" s="67">
        <f>ROUND(VLOOKUP(A16,'Contribution Allocation_Report'!$A$9:$D$314,4,FALSE)*'OPEB Amounts_Report'!$J$326,0)</f>
        <v>1407477</v>
      </c>
      <c r="K16" s="67">
        <f>ROUND(VLOOKUP(A16,'Contribution Allocation_Report'!$A$9:$D$314,4,FALSE)*'OPEB Amounts_Report'!$K$326,0)</f>
        <v>8544717</v>
      </c>
      <c r="L16" s="67">
        <f>INDEX('Change in Proportion Layers'!$AG$8:$AG$324,MATCH('OPEB Amounts_Report'!A16,'Change in Proportion Layers'!$A$8:$A$324,0))</f>
        <v>743295</v>
      </c>
      <c r="M16" s="67">
        <f t="shared" si="0"/>
        <v>10695489</v>
      </c>
      <c r="N16" s="68"/>
      <c r="O16" s="68">
        <f>ROUND(VLOOKUP(A16,'Contribution Allocation_Report'!$A$9:$D$314,4,FALSE)*'OPEB Amounts_Report'!$O$326,0)</f>
        <v>-2742836</v>
      </c>
      <c r="P16" s="68">
        <f>INDEX('Change in Proportion Layers'!$AD$8:$AD$324,MATCH('OPEB Amounts_Report'!A16,'Change in Proportion Layers'!$A$8:$A$324,0))</f>
        <v>589915</v>
      </c>
      <c r="Q16" s="68">
        <f t="shared" si="2"/>
        <v>-2152921</v>
      </c>
    </row>
    <row r="17" spans="1:17" ht="12" customHeight="1">
      <c r="A17" s="227">
        <v>4380</v>
      </c>
      <c r="B17" s="228" t="s">
        <v>11</v>
      </c>
      <c r="C17" s="84">
        <f>ROUND(VLOOKUP(A17,'Contribution Allocation_Report'!$A$9:$D$314,4,FALSE)*'OPEB Amounts_Report'!$C$326,0)</f>
        <v>11041384</v>
      </c>
      <c r="D17" s="84">
        <f>ROUND(VLOOKUP(A17,'Contribution Allocation_Report'!$A$9:$D$314,4,FALSE)*'OPEB Amounts_Report'!$D$326,0)</f>
        <v>118331</v>
      </c>
      <c r="E17" s="84">
        <f>ROUND(VLOOKUP(A17,'Contribution Allocation_Report'!$A$9:$D$314,4,FALSE)*'OPEB Amounts_Report'!$E$326,0)</f>
        <v>98699</v>
      </c>
      <c r="F17" s="84">
        <f>ROUND(VLOOKUP(A17,'Contribution Allocation_Report'!$A$9:$D$314,4,FALSE)*'OPEB Amounts_Report'!$F$326,0)</f>
        <v>2066119</v>
      </c>
      <c r="G17" s="84">
        <f>INDEX('Change in Proportion Layers'!$AF$8:$AF$324,MATCH('OPEB Amounts_Report'!A17,'Change in Proportion Layers'!$A$8:$A$324,0))</f>
        <v>528924</v>
      </c>
      <c r="H17" s="84">
        <f t="shared" si="1"/>
        <v>2812073</v>
      </c>
      <c r="I17" s="84"/>
      <c r="J17" s="84">
        <f>ROUND(VLOOKUP(A17,'Contribution Allocation_Report'!$A$9:$D$314,4,FALSE)*'OPEB Amounts_Report'!$J$326,0)</f>
        <v>1153321</v>
      </c>
      <c r="K17" s="84">
        <f>ROUND(VLOOKUP(A17,'Contribution Allocation_Report'!$A$9:$D$314,4,FALSE)*'OPEB Amounts_Report'!$K$326,0)</f>
        <v>7001749</v>
      </c>
      <c r="L17" s="251">
        <f>INDEX('Change in Proportion Layers'!$AG$8:$AG$324,MATCH('OPEB Amounts_Report'!A17,'Change in Proportion Layers'!$A$8:$A$324,0))</f>
        <v>3569195</v>
      </c>
      <c r="M17" s="84">
        <f t="shared" si="0"/>
        <v>11724265</v>
      </c>
      <c r="N17" s="85"/>
      <c r="O17" s="85">
        <f>ROUND(VLOOKUP(A17,'Contribution Allocation_Report'!$A$9:$D$314,4,FALSE)*'OPEB Amounts_Report'!$O$326,0)</f>
        <v>-2247547</v>
      </c>
      <c r="P17" s="85">
        <f>INDEX('Change in Proportion Layers'!$AD$8:$AD$324,MATCH('OPEB Amounts_Report'!A17,'Change in Proportion Layers'!$A$8:$A$324,0))</f>
        <v>-1072354</v>
      </c>
      <c r="Q17" s="85">
        <f t="shared" si="2"/>
        <v>-3319901</v>
      </c>
    </row>
    <row r="18" spans="1:17" ht="12" customHeight="1">
      <c r="A18" s="59">
        <v>2343</v>
      </c>
      <c r="B18" s="63" t="s">
        <v>420</v>
      </c>
      <c r="C18" s="67">
        <f>ROUND(VLOOKUP(A18,'Contribution Allocation_Report'!$A$9:$D$314,4,FALSE)*'OPEB Amounts_Report'!$C$326,0)</f>
        <v>1064610</v>
      </c>
      <c r="D18" s="67">
        <f>ROUND(VLOOKUP(A18,'Contribution Allocation_Report'!$A$9:$D$314,4,FALSE)*'OPEB Amounts_Report'!$D$326,0)</f>
        <v>11409</v>
      </c>
      <c r="E18" s="67">
        <f>ROUND(VLOOKUP(A18,'Contribution Allocation_Report'!$A$9:$D$314,4,FALSE)*'OPEB Amounts_Report'!$E$326,0)</f>
        <v>9517</v>
      </c>
      <c r="F18" s="67">
        <f>ROUND(VLOOKUP(A18,'Contribution Allocation_Report'!$A$9:$D$314,4,FALSE)*'OPEB Amounts_Report'!$F$326,0)</f>
        <v>199215</v>
      </c>
      <c r="G18" s="250">
        <f>INDEX('Change in Proportion Layers'!$AF$8:$AF$324,MATCH('OPEB Amounts_Report'!A18,'Change in Proportion Layers'!$A$8:$A$324,0))</f>
        <v>457099</v>
      </c>
      <c r="H18" s="67">
        <f t="shared" si="1"/>
        <v>677240</v>
      </c>
      <c r="I18" s="67"/>
      <c r="J18" s="67">
        <f>ROUND(VLOOKUP(A18,'Contribution Allocation_Report'!$A$9:$D$314,4,FALSE)*'OPEB Amounts_Report'!$J$326,0)</f>
        <v>111203</v>
      </c>
      <c r="K18" s="67">
        <f>ROUND(VLOOKUP(A18,'Contribution Allocation_Report'!$A$9:$D$314,4,FALSE)*'OPEB Amounts_Report'!$K$326,0)</f>
        <v>675108</v>
      </c>
      <c r="L18" s="67">
        <f>INDEX('Change in Proportion Layers'!$AG$8:$AG$324,MATCH('OPEB Amounts_Report'!A18,'Change in Proportion Layers'!$A$8:$A$324,0))</f>
        <v>89203</v>
      </c>
      <c r="M18" s="67">
        <f t="shared" si="0"/>
        <v>875514</v>
      </c>
      <c r="N18" s="68"/>
      <c r="O18" s="68">
        <f>ROUND(VLOOKUP(A18,'Contribution Allocation_Report'!$A$9:$D$314,4,FALSE)*'OPEB Amounts_Report'!$O$326,0)</f>
        <v>-216708</v>
      </c>
      <c r="P18" s="68">
        <f>INDEX('Change in Proportion Layers'!$AD$8:$AD$324,MATCH('OPEB Amounts_Report'!A18,'Change in Proportion Layers'!$A$8:$A$324,0))</f>
        <v>103087</v>
      </c>
      <c r="Q18" s="68">
        <f t="shared" si="2"/>
        <v>-113621</v>
      </c>
    </row>
    <row r="19" spans="1:17" ht="12" customHeight="1">
      <c r="A19" s="227">
        <v>2435</v>
      </c>
      <c r="B19" s="228" t="s">
        <v>396</v>
      </c>
      <c r="C19" s="84">
        <f>ROUND(VLOOKUP(A19,'Contribution Allocation_Report'!$A$9:$D$314,4,FALSE)*'OPEB Amounts_Report'!$C$326,0)</f>
        <v>422500</v>
      </c>
      <c r="D19" s="84">
        <f>ROUND(VLOOKUP(A19,'Contribution Allocation_Report'!$A$9:$D$314,4,FALSE)*'OPEB Amounts_Report'!$D$326,0)</f>
        <v>4528</v>
      </c>
      <c r="E19" s="84">
        <f>ROUND(VLOOKUP(A19,'Contribution Allocation_Report'!$A$9:$D$314,4,FALSE)*'OPEB Amounts_Report'!$E$326,0)</f>
        <v>3777</v>
      </c>
      <c r="F19" s="84">
        <f>ROUND(VLOOKUP(A19,'Contribution Allocation_Report'!$A$9:$D$314,4,FALSE)*'OPEB Amounts_Report'!$F$326,0)</f>
        <v>79060</v>
      </c>
      <c r="G19" s="84">
        <f>INDEX('Change in Proportion Layers'!$AF$8:$AF$324,MATCH('OPEB Amounts_Report'!A19,'Change in Proportion Layers'!$A$8:$A$324,0))</f>
        <v>317329</v>
      </c>
      <c r="H19" s="84">
        <f t="shared" si="1"/>
        <v>404694</v>
      </c>
      <c r="I19" s="84"/>
      <c r="J19" s="84">
        <f>ROUND(VLOOKUP(A19,'Contribution Allocation_Report'!$A$9:$D$314,4,FALSE)*'OPEB Amounts_Report'!$J$326,0)</f>
        <v>44132</v>
      </c>
      <c r="K19" s="84">
        <f>ROUND(VLOOKUP(A19,'Contribution Allocation_Report'!$A$9:$D$314,4,FALSE)*'OPEB Amounts_Report'!$K$326,0)</f>
        <v>267923</v>
      </c>
      <c r="L19" s="251">
        <f>INDEX('Change in Proportion Layers'!$AG$8:$AG$324,MATCH('OPEB Amounts_Report'!A19,'Change in Proportion Layers'!$A$8:$A$324,0))</f>
        <v>0</v>
      </c>
      <c r="M19" s="84">
        <f t="shared" si="0"/>
        <v>312055</v>
      </c>
      <c r="N19" s="85"/>
      <c r="O19" s="85">
        <f>ROUND(VLOOKUP(A19,'Contribution Allocation_Report'!$A$9:$D$314,4,FALSE)*'OPEB Amounts_Report'!$O$326,0)</f>
        <v>-86003</v>
      </c>
      <c r="P19" s="85">
        <f>INDEX('Change in Proportion Layers'!$AD$8:$AD$324,MATCH('OPEB Amounts_Report'!A19,'Change in Proportion Layers'!$A$8:$A$324,0))</f>
        <v>168667</v>
      </c>
      <c r="Q19" s="85">
        <f t="shared" si="2"/>
        <v>82664</v>
      </c>
    </row>
    <row r="20" spans="1:17" ht="12" customHeight="1">
      <c r="A20" s="59">
        <v>4560</v>
      </c>
      <c r="B20" s="63" t="s">
        <v>12</v>
      </c>
      <c r="C20" s="67">
        <f>ROUND(VLOOKUP(A20,'Contribution Allocation_Report'!$A$9:$D$314,4,FALSE)*'OPEB Amounts_Report'!$C$326,0)</f>
        <v>1074195</v>
      </c>
      <c r="D20" s="67">
        <f>ROUND(VLOOKUP(A20,'Contribution Allocation_Report'!$A$9:$D$314,4,FALSE)*'OPEB Amounts_Report'!$D$326,0)</f>
        <v>11512</v>
      </c>
      <c r="E20" s="67">
        <f>ROUND(VLOOKUP(A20,'Contribution Allocation_Report'!$A$9:$D$314,4,FALSE)*'OPEB Amounts_Report'!$E$326,0)</f>
        <v>9602</v>
      </c>
      <c r="F20" s="67">
        <f>ROUND(VLOOKUP(A20,'Contribution Allocation_Report'!$A$9:$D$314,4,FALSE)*'OPEB Amounts_Report'!$F$326,0)</f>
        <v>201009</v>
      </c>
      <c r="G20" s="67">
        <f>INDEX('Change in Proportion Layers'!$AF$8:$AF$324,MATCH('OPEB Amounts_Report'!A20,'Change in Proportion Layers'!$A$8:$A$324,0))</f>
        <v>159276</v>
      </c>
      <c r="H20" s="67">
        <f t="shared" si="1"/>
        <v>381399</v>
      </c>
      <c r="I20" s="67"/>
      <c r="J20" s="67">
        <f>ROUND(VLOOKUP(A20,'Contribution Allocation_Report'!$A$9:$D$314,4,FALSE)*'OPEB Amounts_Report'!$J$326,0)</f>
        <v>112204</v>
      </c>
      <c r="K20" s="67">
        <f>ROUND(VLOOKUP(A20,'Contribution Allocation_Report'!$A$9:$D$314,4,FALSE)*'OPEB Amounts_Report'!$K$326,0)</f>
        <v>681187</v>
      </c>
      <c r="L20" s="67">
        <f>INDEX('Change in Proportion Layers'!$AG$8:$AG$324,MATCH('OPEB Amounts_Report'!A20,'Change in Proportion Layers'!$A$8:$A$324,0))</f>
        <v>144594</v>
      </c>
      <c r="M20" s="67">
        <f t="shared" si="0"/>
        <v>937985</v>
      </c>
      <c r="N20" s="68"/>
      <c r="O20" s="68">
        <f>ROUND(VLOOKUP(A20,'Contribution Allocation_Report'!$A$9:$D$314,4,FALSE)*'OPEB Amounts_Report'!$O$326,0)</f>
        <v>-218660</v>
      </c>
      <c r="P20" s="68">
        <f>INDEX('Change in Proportion Layers'!$AD$8:$AD$324,MATCH('OPEB Amounts_Report'!A20,'Change in Proportion Layers'!$A$8:$A$324,0))</f>
        <v>-22384</v>
      </c>
      <c r="Q20" s="68">
        <f t="shared" si="2"/>
        <v>-241044</v>
      </c>
    </row>
    <row r="21" spans="1:17" ht="12" customHeight="1">
      <c r="A21" s="227">
        <v>2341</v>
      </c>
      <c r="B21" s="228" t="s">
        <v>417</v>
      </c>
      <c r="C21" s="84">
        <f>ROUND(VLOOKUP(A21,'Contribution Allocation_Report'!$A$9:$D$314,4,FALSE)*'OPEB Amounts_Report'!$C$326,0)</f>
        <v>608491</v>
      </c>
      <c r="D21" s="84">
        <f>ROUND(VLOOKUP(A21,'Contribution Allocation_Report'!$A$9:$D$314,4,FALSE)*'OPEB Amounts_Report'!$D$326,0)</f>
        <v>6521</v>
      </c>
      <c r="E21" s="84">
        <f>ROUND(VLOOKUP(A21,'Contribution Allocation_Report'!$A$9:$D$314,4,FALSE)*'OPEB Amounts_Report'!$E$326,0)</f>
        <v>5439</v>
      </c>
      <c r="F21" s="84">
        <f>ROUND(VLOOKUP(A21,'Contribution Allocation_Report'!$A$9:$D$314,4,FALSE)*'OPEB Amounts_Report'!$F$326,0)</f>
        <v>113864</v>
      </c>
      <c r="G21" s="84">
        <f>INDEX('Change in Proportion Layers'!$AF$8:$AF$324,MATCH('OPEB Amounts_Report'!A21,'Change in Proportion Layers'!$A$8:$A$324,0))</f>
        <v>0</v>
      </c>
      <c r="H21" s="84">
        <f t="shared" si="1"/>
        <v>125824</v>
      </c>
      <c r="I21" s="84"/>
      <c r="J21" s="84">
        <f>ROUND(VLOOKUP(A21,'Contribution Allocation_Report'!$A$9:$D$314,4,FALSE)*'OPEB Amounts_Report'!$J$326,0)</f>
        <v>63560</v>
      </c>
      <c r="K21" s="84">
        <f>ROUND(VLOOKUP(A21,'Contribution Allocation_Report'!$A$9:$D$314,4,FALSE)*'OPEB Amounts_Report'!$K$326,0)</f>
        <v>385866</v>
      </c>
      <c r="L21" s="84">
        <f>INDEX('Change in Proportion Layers'!$AG$8:$AG$324,MATCH('OPEB Amounts_Report'!A21,'Change in Proportion Layers'!$A$8:$A$324,0))</f>
        <v>113233</v>
      </c>
      <c r="M21" s="84">
        <f t="shared" si="0"/>
        <v>562659</v>
      </c>
      <c r="N21" s="85"/>
      <c r="O21" s="85">
        <f>ROUND(VLOOKUP(A21,'Contribution Allocation_Report'!$A$9:$D$314,4,FALSE)*'OPEB Amounts_Report'!$O$326,0)</f>
        <v>-123862</v>
      </c>
      <c r="P21" s="85">
        <f>INDEX('Change in Proportion Layers'!$AD$8:$AD$324,MATCH('OPEB Amounts_Report'!A21,'Change in Proportion Layers'!$A$8:$A$324,0))</f>
        <v>-35179</v>
      </c>
      <c r="Q21" s="85">
        <f t="shared" si="2"/>
        <v>-159041</v>
      </c>
    </row>
    <row r="22" spans="1:17" ht="12" customHeight="1">
      <c r="A22" s="59">
        <v>4580</v>
      </c>
      <c r="B22" s="63" t="s">
        <v>397</v>
      </c>
      <c r="C22" s="67">
        <f>ROUND(VLOOKUP(A22,'Contribution Allocation_Report'!$A$9:$D$314,4,FALSE)*'OPEB Amounts_Report'!$C$326,0)</f>
        <v>623836</v>
      </c>
      <c r="D22" s="67">
        <f>ROUND(VLOOKUP(A22,'Contribution Allocation_Report'!$A$9:$D$314,4,FALSE)*'OPEB Amounts_Report'!$D$326,0)</f>
        <v>6686</v>
      </c>
      <c r="E22" s="67">
        <f>ROUND(VLOOKUP(A22,'Contribution Allocation_Report'!$A$9:$D$314,4,FALSE)*'OPEB Amounts_Report'!$E$326,0)</f>
        <v>5576</v>
      </c>
      <c r="F22" s="67">
        <f>ROUND(VLOOKUP(A22,'Contribution Allocation_Report'!$A$9:$D$314,4,FALSE)*'OPEB Amounts_Report'!$F$326,0)</f>
        <v>116735</v>
      </c>
      <c r="G22" s="67">
        <f>INDEX('Change in Proportion Layers'!$AF$8:$AF$324,MATCH('OPEB Amounts_Report'!A22,'Change in Proportion Layers'!$A$8:$A$324,0))</f>
        <v>94070</v>
      </c>
      <c r="H22" s="67">
        <f t="shared" si="1"/>
        <v>223067</v>
      </c>
      <c r="I22" s="67"/>
      <c r="J22" s="67">
        <f>ROUND(VLOOKUP(A22,'Contribution Allocation_Report'!$A$9:$D$314,4,FALSE)*'OPEB Amounts_Report'!$J$326,0)</f>
        <v>65162</v>
      </c>
      <c r="K22" s="67">
        <f>ROUND(VLOOKUP(A22,'Contribution Allocation_Report'!$A$9:$D$314,4,FALSE)*'OPEB Amounts_Report'!$K$326,0)</f>
        <v>395597</v>
      </c>
      <c r="L22" s="250">
        <f>INDEX('Change in Proportion Layers'!$AG$8:$AG$324,MATCH('OPEB Amounts_Report'!A22,'Change in Proportion Layers'!$A$8:$A$324,0))</f>
        <v>23995</v>
      </c>
      <c r="M22" s="67">
        <f t="shared" si="0"/>
        <v>484754</v>
      </c>
      <c r="N22" s="68"/>
      <c r="O22" s="68">
        <f>ROUND(VLOOKUP(A22,'Contribution Allocation_Report'!$A$9:$D$314,4,FALSE)*'OPEB Amounts_Report'!$O$326,0)</f>
        <v>-126986</v>
      </c>
      <c r="P22" s="68">
        <f>INDEX('Change in Proportion Layers'!$AD$8:$AD$324,MATCH('OPEB Amounts_Report'!A22,'Change in Proportion Layers'!$A$8:$A$324,0))</f>
        <v>212958</v>
      </c>
      <c r="Q22" s="68">
        <f t="shared" si="2"/>
        <v>85972</v>
      </c>
    </row>
    <row r="23" spans="1:17" ht="12" customHeight="1">
      <c r="A23" s="227">
        <v>2003</v>
      </c>
      <c r="B23" s="228" t="s">
        <v>13</v>
      </c>
      <c r="C23" s="84">
        <f>ROUND(VLOOKUP(A23,'Contribution Allocation_Report'!$A$9:$D$314,4,FALSE)*'OPEB Amounts_Report'!$C$326,0)</f>
        <v>197413350</v>
      </c>
      <c r="D23" s="84">
        <f>ROUND(VLOOKUP(A23,'Contribution Allocation_Report'!$A$9:$D$314,4,FALSE)*'OPEB Amounts_Report'!$D$326,0)</f>
        <v>2115687</v>
      </c>
      <c r="E23" s="84">
        <f>ROUND(VLOOKUP(A23,'Contribution Allocation_Report'!$A$9:$D$314,4,FALSE)*'OPEB Amounts_Report'!$E$326,0)</f>
        <v>1764684</v>
      </c>
      <c r="F23" s="84">
        <f>ROUND(VLOOKUP(A23,'Contribution Allocation_Report'!$A$9:$D$314,4,FALSE)*'OPEB Amounts_Report'!$F$326,0)</f>
        <v>36940983</v>
      </c>
      <c r="G23" s="84">
        <f>INDEX('Change in Proportion Layers'!$AF$8:$AF$324,MATCH('OPEB Amounts_Report'!A23,'Change in Proportion Layers'!$A$8:$A$324,0))</f>
        <v>5708279</v>
      </c>
      <c r="H23" s="84">
        <f t="shared" si="1"/>
        <v>46529633</v>
      </c>
      <c r="I23" s="84"/>
      <c r="J23" s="84">
        <f>ROUND(VLOOKUP(A23,'Contribution Allocation_Report'!$A$9:$D$314,4,FALSE)*'OPEB Amounts_Report'!$J$326,0)</f>
        <v>20620690</v>
      </c>
      <c r="K23" s="84">
        <f>ROUND(VLOOKUP(A23,'Contribution Allocation_Report'!$A$9:$D$314,4,FALSE)*'OPEB Amounts_Report'!$K$326,0)</f>
        <v>125187101</v>
      </c>
      <c r="L23" s="84">
        <f>INDEX('Change in Proportion Layers'!$AG$8:$AG$324,MATCH('OPEB Amounts_Report'!A23,'Change in Proportion Layers'!$A$8:$A$324,0))</f>
        <v>13650214</v>
      </c>
      <c r="M23" s="84">
        <f t="shared" si="0"/>
        <v>159458005</v>
      </c>
      <c r="N23" s="85"/>
      <c r="O23" s="85">
        <f>ROUND(VLOOKUP(A23,'Contribution Allocation_Report'!$A$9:$D$314,4,FALSE)*'OPEB Amounts_Report'!$O$326,0)</f>
        <v>-40184798</v>
      </c>
      <c r="P23" s="85">
        <f>INDEX('Change in Proportion Layers'!$AD$8:$AD$324,MATCH('OPEB Amounts_Report'!A23,'Change in Proportion Layers'!$A$8:$A$324,0))</f>
        <v>670571</v>
      </c>
      <c r="Q23" s="85">
        <f t="shared" si="2"/>
        <v>-39514227</v>
      </c>
    </row>
    <row r="24" spans="1:17" ht="12" customHeight="1">
      <c r="A24" s="59">
        <v>2412</v>
      </c>
      <c r="B24" s="63" t="s">
        <v>14</v>
      </c>
      <c r="C24" s="67">
        <f>ROUND(VLOOKUP(A24,'Contribution Allocation_Report'!$A$9:$D$314,4,FALSE)*'OPEB Amounts_Report'!$C$326,0)</f>
        <v>1906331</v>
      </c>
      <c r="D24" s="67">
        <f>ROUND(VLOOKUP(A24,'Contribution Allocation_Report'!$A$9:$D$314,4,FALSE)*'OPEB Amounts_Report'!$D$326,0)</f>
        <v>20430</v>
      </c>
      <c r="E24" s="67">
        <f>ROUND(VLOOKUP(A24,'Contribution Allocation_Report'!$A$9:$D$314,4,FALSE)*'OPEB Amounts_Report'!$E$326,0)</f>
        <v>17041</v>
      </c>
      <c r="F24" s="67">
        <f>ROUND(VLOOKUP(A24,'Contribution Allocation_Report'!$A$9:$D$314,4,FALSE)*'OPEB Amounts_Report'!$F$326,0)</f>
        <v>356722</v>
      </c>
      <c r="G24" s="67">
        <f>INDEX('Change in Proportion Layers'!$AF$8:$AF$324,MATCH('OPEB Amounts_Report'!A24,'Change in Proportion Layers'!$A$8:$A$324,0))</f>
        <v>966623</v>
      </c>
      <c r="H24" s="67">
        <f t="shared" si="1"/>
        <v>1360816</v>
      </c>
      <c r="I24" s="67"/>
      <c r="J24" s="67">
        <f>ROUND(VLOOKUP(A24,'Contribution Allocation_Report'!$A$9:$D$314,4,FALSE)*'OPEB Amounts_Report'!$J$326,0)</f>
        <v>199125</v>
      </c>
      <c r="K24" s="67">
        <f>ROUND(VLOOKUP(A24,'Contribution Allocation_Report'!$A$9:$D$314,4,FALSE)*'OPEB Amounts_Report'!$K$326,0)</f>
        <v>1208875</v>
      </c>
      <c r="L24" s="67">
        <f>INDEX('Change in Proportion Layers'!$AG$8:$AG$324,MATCH('OPEB Amounts_Report'!A24,'Change in Proportion Layers'!$A$8:$A$324,0))</f>
        <v>59983</v>
      </c>
      <c r="M24" s="67">
        <f t="shared" si="0"/>
        <v>1467983</v>
      </c>
      <c r="N24" s="68"/>
      <c r="O24" s="68">
        <f>ROUND(VLOOKUP(A24,'Contribution Allocation_Report'!$A$9:$D$314,4,FALSE)*'OPEB Amounts_Report'!$O$326,0)</f>
        <v>-388046</v>
      </c>
      <c r="P24" s="68">
        <f>INDEX('Change in Proportion Layers'!$AD$8:$AD$324,MATCH('OPEB Amounts_Report'!A24,'Change in Proportion Layers'!$A$8:$A$324,0))</f>
        <v>499146</v>
      </c>
      <c r="Q24" s="68">
        <f t="shared" si="2"/>
        <v>111100</v>
      </c>
    </row>
    <row r="25" spans="1:17" ht="12" customHeight="1">
      <c r="A25" s="227">
        <v>2402</v>
      </c>
      <c r="B25" s="228" t="s">
        <v>15</v>
      </c>
      <c r="C25" s="84">
        <f>ROUND(VLOOKUP(A25,'Contribution Allocation_Report'!$A$9:$D$314,4,FALSE)*'OPEB Amounts_Report'!$C$326,0)</f>
        <v>946390</v>
      </c>
      <c r="D25" s="84">
        <f>ROUND(VLOOKUP(A25,'Contribution Allocation_Report'!$A$9:$D$314,4,FALSE)*'OPEB Amounts_Report'!$D$326,0)</f>
        <v>10142</v>
      </c>
      <c r="E25" s="84">
        <f>ROUND(VLOOKUP(A25,'Contribution Allocation_Report'!$A$9:$D$314,4,FALSE)*'OPEB Amounts_Report'!$E$326,0)</f>
        <v>8460</v>
      </c>
      <c r="F25" s="84">
        <f>ROUND(VLOOKUP(A25,'Contribution Allocation_Report'!$A$9:$D$314,4,FALSE)*'OPEB Amounts_Report'!$F$326,0)</f>
        <v>177093</v>
      </c>
      <c r="G25" s="84">
        <f>INDEX('Change in Proportion Layers'!$AF$8:$AF$324,MATCH('OPEB Amounts_Report'!A25,'Change in Proportion Layers'!$A$8:$A$324,0))</f>
        <v>599602</v>
      </c>
      <c r="H25" s="84">
        <f t="shared" si="1"/>
        <v>795297</v>
      </c>
      <c r="I25" s="84"/>
      <c r="J25" s="84">
        <f>ROUND(VLOOKUP(A25,'Contribution Allocation_Report'!$A$9:$D$314,4,FALSE)*'OPEB Amounts_Report'!$J$326,0)</f>
        <v>98855</v>
      </c>
      <c r="K25" s="84">
        <f>ROUND(VLOOKUP(A25,'Contribution Allocation_Report'!$A$9:$D$314,4,FALSE)*'OPEB Amounts_Report'!$K$326,0)</f>
        <v>600141</v>
      </c>
      <c r="L25" s="84">
        <f>INDEX('Change in Proportion Layers'!$AG$8:$AG$324,MATCH('OPEB Amounts_Report'!A25,'Change in Proportion Layers'!$A$8:$A$324,0))</f>
        <v>0</v>
      </c>
      <c r="M25" s="84">
        <f t="shared" si="0"/>
        <v>698996</v>
      </c>
      <c r="N25" s="85"/>
      <c r="O25" s="85">
        <f>ROUND(VLOOKUP(A25,'Contribution Allocation_Report'!$A$9:$D$314,4,FALSE)*'OPEB Amounts_Report'!$O$326,0)</f>
        <v>-192644</v>
      </c>
      <c r="P25" s="85">
        <f>INDEX('Change in Proportion Layers'!$AD$8:$AD$324,MATCH('OPEB Amounts_Report'!A25,'Change in Proportion Layers'!$A$8:$A$324,0))</f>
        <v>142484</v>
      </c>
      <c r="Q25" s="85">
        <f t="shared" si="2"/>
        <v>-50160</v>
      </c>
    </row>
    <row r="26" spans="1:17" ht="12" customHeight="1">
      <c r="A26" s="59">
        <v>2361</v>
      </c>
      <c r="B26" s="63" t="s">
        <v>16</v>
      </c>
      <c r="C26" s="67">
        <f>ROUND(VLOOKUP(A26,'Contribution Allocation_Report'!$A$9:$D$314,4,FALSE)*'OPEB Amounts_Report'!$C$326,0)</f>
        <v>318602</v>
      </c>
      <c r="D26" s="67">
        <f>ROUND(VLOOKUP(A26,'Contribution Allocation_Report'!$A$9:$D$314,4,FALSE)*'OPEB Amounts_Report'!$D$326,0)</f>
        <v>3414</v>
      </c>
      <c r="E26" s="67">
        <f>ROUND(VLOOKUP(A26,'Contribution Allocation_Report'!$A$9:$D$314,4,FALSE)*'OPEB Amounts_Report'!$E$326,0)</f>
        <v>2848</v>
      </c>
      <c r="F26" s="67">
        <f>ROUND(VLOOKUP(A26,'Contribution Allocation_Report'!$A$9:$D$314,4,FALSE)*'OPEB Amounts_Report'!$F$326,0)</f>
        <v>59618</v>
      </c>
      <c r="G26" s="67">
        <f>INDEX('Change in Proportion Layers'!$AF$8:$AF$324,MATCH('OPEB Amounts_Report'!A26,'Change in Proportion Layers'!$A$8:$A$324,0))</f>
        <v>41764</v>
      </c>
      <c r="H26" s="67">
        <f t="shared" si="1"/>
        <v>107644</v>
      </c>
      <c r="I26" s="67"/>
      <c r="J26" s="67">
        <f>ROUND(VLOOKUP(A26,'Contribution Allocation_Report'!$A$9:$D$314,4,FALSE)*'OPEB Amounts_Report'!$J$326,0)</f>
        <v>33279</v>
      </c>
      <c r="K26" s="67">
        <f>ROUND(VLOOKUP(A26,'Contribution Allocation_Report'!$A$9:$D$314,4,FALSE)*'OPEB Amounts_Report'!$K$326,0)</f>
        <v>202038</v>
      </c>
      <c r="L26" s="250">
        <f>INDEX('Change in Proportion Layers'!$AG$8:$AG$324,MATCH('OPEB Amounts_Report'!A26,'Change in Proportion Layers'!$A$8:$A$324,0))</f>
        <v>158735</v>
      </c>
      <c r="M26" s="67">
        <f t="shared" si="0"/>
        <v>394052</v>
      </c>
      <c r="N26" s="68"/>
      <c r="O26" s="68">
        <f>ROUND(VLOOKUP(A26,'Contribution Allocation_Report'!$A$9:$D$314,4,FALSE)*'OPEB Amounts_Report'!$O$326,0)</f>
        <v>-64854</v>
      </c>
      <c r="P26" s="68">
        <f>INDEX('Change in Proportion Layers'!$AD$8:$AD$324,MATCH('OPEB Amounts_Report'!A26,'Change in Proportion Layers'!$A$8:$A$324,0))</f>
        <v>-33259</v>
      </c>
      <c r="Q26" s="68">
        <f t="shared" si="2"/>
        <v>-98113</v>
      </c>
    </row>
    <row r="27" spans="1:17" ht="12" customHeight="1">
      <c r="A27" s="227">
        <v>8347</v>
      </c>
      <c r="B27" s="228" t="s">
        <v>17</v>
      </c>
      <c r="C27" s="84">
        <f>ROUND(VLOOKUP(A27,'Contribution Allocation_Report'!$A$9:$D$314,4,FALSE)*'OPEB Amounts_Report'!$C$326,0)</f>
        <v>601778</v>
      </c>
      <c r="D27" s="84">
        <f>ROUND(VLOOKUP(A27,'Contribution Allocation_Report'!$A$9:$D$314,4,FALSE)*'OPEB Amounts_Report'!$D$326,0)</f>
        <v>6449</v>
      </c>
      <c r="E27" s="84">
        <f>ROUND(VLOOKUP(A27,'Contribution Allocation_Report'!$A$9:$D$314,4,FALSE)*'OPEB Amounts_Report'!$E$326,0)</f>
        <v>5379</v>
      </c>
      <c r="F27" s="84">
        <f>ROUND(VLOOKUP(A27,'Contribution Allocation_Report'!$A$9:$D$314,4,FALSE)*'OPEB Amounts_Report'!$F$326,0)</f>
        <v>112608</v>
      </c>
      <c r="G27" s="84">
        <f>INDEX('Change in Proportion Layers'!$AF$8:$AF$324,MATCH('OPEB Amounts_Report'!A27,'Change in Proportion Layers'!$A$8:$A$324,0))</f>
        <v>216287</v>
      </c>
      <c r="H27" s="84">
        <f t="shared" si="1"/>
        <v>340723</v>
      </c>
      <c r="I27" s="84"/>
      <c r="J27" s="84">
        <f>ROUND(VLOOKUP(A27,'Contribution Allocation_Report'!$A$9:$D$314,4,FALSE)*'OPEB Amounts_Report'!$J$326,0)</f>
        <v>62858</v>
      </c>
      <c r="K27" s="84">
        <f>ROUND(VLOOKUP(A27,'Contribution Allocation_Report'!$A$9:$D$314,4,FALSE)*'OPEB Amounts_Report'!$K$326,0)</f>
        <v>381610</v>
      </c>
      <c r="L27" s="84">
        <f>INDEX('Change in Proportion Layers'!$AG$8:$AG$324,MATCH('OPEB Amounts_Report'!A27,'Change in Proportion Layers'!$A$8:$A$324,0))</f>
        <v>101080</v>
      </c>
      <c r="M27" s="84">
        <f t="shared" si="0"/>
        <v>545548</v>
      </c>
      <c r="N27" s="85"/>
      <c r="O27" s="85">
        <f>ROUND(VLOOKUP(A27,'Contribution Allocation_Report'!$A$9:$D$314,4,FALSE)*'OPEB Amounts_Report'!$O$326,0)</f>
        <v>-122496</v>
      </c>
      <c r="P27" s="85">
        <f>INDEX('Change in Proportion Layers'!$AD$8:$AD$324,MATCH('OPEB Amounts_Report'!A27,'Change in Proportion Layers'!$A$8:$A$324,0))</f>
        <v>7918</v>
      </c>
      <c r="Q27" s="85">
        <f t="shared" si="2"/>
        <v>-114578</v>
      </c>
    </row>
    <row r="28" spans="1:17" ht="12" customHeight="1">
      <c r="A28" s="59">
        <v>2356</v>
      </c>
      <c r="B28" s="63" t="s">
        <v>18</v>
      </c>
      <c r="C28" s="67">
        <f>ROUND(VLOOKUP(A28,'Contribution Allocation_Report'!$A$9:$D$314,4,FALSE)*'OPEB Amounts_Report'!$C$326,0)</f>
        <v>1083725</v>
      </c>
      <c r="D28" s="67">
        <f>ROUND(VLOOKUP(A28,'Contribution Allocation_Report'!$A$9:$D$314,4,FALSE)*'OPEB Amounts_Report'!$D$326,0)</f>
        <v>11614</v>
      </c>
      <c r="E28" s="67">
        <f>ROUND(VLOOKUP(A28,'Contribution Allocation_Report'!$A$9:$D$314,4,FALSE)*'OPEB Amounts_Report'!$E$326,0)</f>
        <v>9687</v>
      </c>
      <c r="F28" s="67">
        <f>ROUND(VLOOKUP(A28,'Contribution Allocation_Report'!$A$9:$D$314,4,FALSE)*'OPEB Amounts_Report'!$F$326,0)</f>
        <v>202792</v>
      </c>
      <c r="G28" s="67">
        <f>INDEX('Change in Proportion Layers'!$AF$8:$AF$324,MATCH('OPEB Amounts_Report'!A28,'Change in Proportion Layers'!$A$8:$A$324,0))</f>
        <v>103730</v>
      </c>
      <c r="H28" s="67">
        <f t="shared" si="1"/>
        <v>327823</v>
      </c>
      <c r="I28" s="67"/>
      <c r="J28" s="67">
        <f>ROUND(VLOOKUP(A28,'Contribution Allocation_Report'!$A$9:$D$314,4,FALSE)*'OPEB Amounts_Report'!$J$326,0)</f>
        <v>113200</v>
      </c>
      <c r="K28" s="67">
        <f>ROUND(VLOOKUP(A28,'Contribution Allocation_Report'!$A$9:$D$314,4,FALSE)*'OPEB Amounts_Report'!$K$326,0)</f>
        <v>687230</v>
      </c>
      <c r="L28" s="250">
        <f>INDEX('Change in Proportion Layers'!$AG$8:$AG$324,MATCH('OPEB Amounts_Report'!A28,'Change in Proportion Layers'!$A$8:$A$324,0))</f>
        <v>0</v>
      </c>
      <c r="M28" s="67">
        <f t="shared" si="0"/>
        <v>800430</v>
      </c>
      <c r="N28" s="68"/>
      <c r="O28" s="68">
        <f>ROUND(VLOOKUP(A28,'Contribution Allocation_Report'!$A$9:$D$314,4,FALSE)*'OPEB Amounts_Report'!$O$326,0)</f>
        <v>-220599</v>
      </c>
      <c r="P28" s="68">
        <f>INDEX('Change in Proportion Layers'!$AD$8:$AD$324,MATCH('OPEB Amounts_Report'!A28,'Change in Proportion Layers'!$A$8:$A$324,0))</f>
        <v>91430</v>
      </c>
      <c r="Q28" s="68">
        <f t="shared" si="2"/>
        <v>-129169</v>
      </c>
    </row>
    <row r="29" spans="1:17" ht="12" customHeight="1">
      <c r="A29" s="227">
        <v>7335</v>
      </c>
      <c r="B29" s="228" t="s">
        <v>19</v>
      </c>
      <c r="C29" s="84">
        <f>ROUND(VLOOKUP(A29,'Contribution Allocation_Report'!$A$9:$D$314,4,FALSE)*'OPEB Amounts_Report'!$C$326,0)</f>
        <v>299151</v>
      </c>
      <c r="D29" s="84">
        <f>ROUND(VLOOKUP(A29,'Contribution Allocation_Report'!$A$9:$D$314,4,FALSE)*'OPEB Amounts_Report'!$D$326,0)</f>
        <v>3206</v>
      </c>
      <c r="E29" s="84">
        <f>ROUND(VLOOKUP(A29,'Contribution Allocation_Report'!$A$9:$D$314,4,FALSE)*'OPEB Amounts_Report'!$E$326,0)</f>
        <v>2674</v>
      </c>
      <c r="F29" s="84">
        <f>ROUND(VLOOKUP(A29,'Contribution Allocation_Report'!$A$9:$D$314,4,FALSE)*'OPEB Amounts_Report'!$F$326,0)</f>
        <v>55979</v>
      </c>
      <c r="G29" s="251">
        <f>INDEX('Change in Proportion Layers'!$AF$8:$AF$324,MATCH('OPEB Amounts_Report'!A29,'Change in Proportion Layers'!$A$8:$A$324,0))</f>
        <v>111858</v>
      </c>
      <c r="H29" s="84">
        <f t="shared" si="1"/>
        <v>173717</v>
      </c>
      <c r="I29" s="84"/>
      <c r="J29" s="84">
        <f>ROUND(VLOOKUP(A29,'Contribution Allocation_Report'!$A$9:$D$314,4,FALSE)*'OPEB Amounts_Report'!$J$326,0)</f>
        <v>31248</v>
      </c>
      <c r="K29" s="84">
        <f>ROUND(VLOOKUP(A29,'Contribution Allocation_Report'!$A$9:$D$314,4,FALSE)*'OPEB Amounts_Report'!$K$326,0)</f>
        <v>189703</v>
      </c>
      <c r="L29" s="84">
        <f>INDEX('Change in Proportion Layers'!$AG$8:$AG$324,MATCH('OPEB Amounts_Report'!A29,'Change in Proportion Layers'!$A$8:$A$324,0))</f>
        <v>287102</v>
      </c>
      <c r="M29" s="84">
        <f t="shared" si="0"/>
        <v>508053</v>
      </c>
      <c r="N29" s="85"/>
      <c r="O29" s="85">
        <f>ROUND(VLOOKUP(A29,'Contribution Allocation_Report'!$A$9:$D$314,4,FALSE)*'OPEB Amounts_Report'!$O$326,0)</f>
        <v>-60894</v>
      </c>
      <c r="P29" s="85">
        <f>INDEX('Change in Proportion Layers'!$AD$8:$AD$324,MATCH('OPEB Amounts_Report'!A29,'Change in Proportion Layers'!$A$8:$A$324,0))</f>
        <v>-39205</v>
      </c>
      <c r="Q29" s="85">
        <f t="shared" si="2"/>
        <v>-100099</v>
      </c>
    </row>
    <row r="30" spans="1:17" ht="12" customHeight="1">
      <c r="A30" s="59">
        <v>575</v>
      </c>
      <c r="B30" s="63" t="s">
        <v>398</v>
      </c>
      <c r="C30" s="67">
        <f>ROUND(VLOOKUP(A30,'Contribution Allocation_Report'!$A$9:$D$314,4,FALSE)*'OPEB Amounts_Report'!$C$326,0)</f>
        <v>387760</v>
      </c>
      <c r="D30" s="67">
        <f>ROUND(VLOOKUP(A30,'Contribution Allocation_Report'!$A$9:$D$314,4,FALSE)*'OPEB Amounts_Report'!$D$326,0)</f>
        <v>4156</v>
      </c>
      <c r="E30" s="67">
        <f>ROUND(VLOOKUP(A30,'Contribution Allocation_Report'!$A$9:$D$314,4,FALSE)*'OPEB Amounts_Report'!$E$326,0)</f>
        <v>3466</v>
      </c>
      <c r="F30" s="67">
        <f>ROUND(VLOOKUP(A30,'Contribution Allocation_Report'!$A$9:$D$314,4,FALSE)*'OPEB Amounts_Report'!$F$326,0)</f>
        <v>72560</v>
      </c>
      <c r="G30" s="67">
        <f>INDEX('Change in Proportion Layers'!$AF$8:$AF$324,MATCH('OPEB Amounts_Report'!A30,'Change in Proportion Layers'!$A$8:$A$324,0))</f>
        <v>219604</v>
      </c>
      <c r="H30" s="67">
        <f t="shared" si="1"/>
        <v>299786</v>
      </c>
      <c r="I30" s="67"/>
      <c r="J30" s="67">
        <f>ROUND(VLOOKUP(A30,'Contribution Allocation_Report'!$A$9:$D$314,4,FALSE)*'OPEB Amounts_Report'!$J$326,0)</f>
        <v>40503</v>
      </c>
      <c r="K30" s="67">
        <f>ROUND(VLOOKUP(A30,'Contribution Allocation_Report'!$A$9:$D$314,4,FALSE)*'OPEB Amounts_Report'!$K$326,0)</f>
        <v>245893</v>
      </c>
      <c r="L30" s="250">
        <f>INDEX('Change in Proportion Layers'!$AG$8:$AG$324,MATCH('OPEB Amounts_Report'!A30,'Change in Proportion Layers'!$A$8:$A$324,0))</f>
        <v>13595</v>
      </c>
      <c r="M30" s="67">
        <f t="shared" si="0"/>
        <v>299991</v>
      </c>
      <c r="N30" s="68"/>
      <c r="O30" s="68">
        <f>ROUND(VLOOKUP(A30,'Contribution Allocation_Report'!$A$9:$D$314,4,FALSE)*'OPEB Amounts_Report'!$O$326,0)</f>
        <v>-78931</v>
      </c>
      <c r="P30" s="68">
        <f>INDEX('Change in Proportion Layers'!$AD$8:$AD$324,MATCH('OPEB Amounts_Report'!A30,'Change in Proportion Layers'!$A$8:$A$324,0))</f>
        <v>155388</v>
      </c>
      <c r="Q30" s="68">
        <f t="shared" si="2"/>
        <v>76457</v>
      </c>
    </row>
    <row r="31" spans="1:17" ht="12" customHeight="1">
      <c r="A31" s="227">
        <v>2303</v>
      </c>
      <c r="B31" s="228" t="s">
        <v>20</v>
      </c>
      <c r="C31" s="84">
        <f>ROUND(VLOOKUP(A31,'Contribution Allocation_Report'!$A$9:$D$314,4,FALSE)*'OPEB Amounts_Report'!$C$326,0)</f>
        <v>670039</v>
      </c>
      <c r="D31" s="84">
        <f>ROUND(VLOOKUP(A31,'Contribution Allocation_Report'!$A$9:$D$314,4,FALSE)*'OPEB Amounts_Report'!$D$326,0)</f>
        <v>7181</v>
      </c>
      <c r="E31" s="84">
        <f>ROUND(VLOOKUP(A31,'Contribution Allocation_Report'!$A$9:$D$314,4,FALSE)*'OPEB Amounts_Report'!$E$326,0)</f>
        <v>5989</v>
      </c>
      <c r="F31" s="84">
        <f>ROUND(VLOOKUP(A31,'Contribution Allocation_Report'!$A$9:$D$314,4,FALSE)*'OPEB Amounts_Report'!$F$326,0)</f>
        <v>125381</v>
      </c>
      <c r="G31" s="251">
        <f>INDEX('Change in Proportion Layers'!$AF$8:$AF$324,MATCH('OPEB Amounts_Report'!A31,'Change in Proportion Layers'!$A$8:$A$324,0))</f>
        <v>27796</v>
      </c>
      <c r="H31" s="84">
        <f t="shared" si="1"/>
        <v>166347</v>
      </c>
      <c r="I31" s="84"/>
      <c r="J31" s="84">
        <f>ROUND(VLOOKUP(A31,'Contribution Allocation_Report'!$A$9:$D$314,4,FALSE)*'OPEB Amounts_Report'!$J$326,0)</f>
        <v>69989</v>
      </c>
      <c r="K31" s="84">
        <f>ROUND(VLOOKUP(A31,'Contribution Allocation_Report'!$A$9:$D$314,4,FALSE)*'OPEB Amounts_Report'!$K$326,0)</f>
        <v>424896</v>
      </c>
      <c r="L31" s="84">
        <f>INDEX('Change in Proportion Layers'!$AG$8:$AG$324,MATCH('OPEB Amounts_Report'!A31,'Change in Proportion Layers'!$A$8:$A$324,0))</f>
        <v>245559</v>
      </c>
      <c r="M31" s="84">
        <f t="shared" si="0"/>
        <v>740444</v>
      </c>
      <c r="N31" s="85"/>
      <c r="O31" s="85">
        <f>ROUND(VLOOKUP(A31,'Contribution Allocation_Report'!$A$9:$D$314,4,FALSE)*'OPEB Amounts_Report'!$O$326,0)</f>
        <v>-136391</v>
      </c>
      <c r="P31" s="85">
        <f>INDEX('Change in Proportion Layers'!$AD$8:$AD$324,MATCH('OPEB Amounts_Report'!A31,'Change in Proportion Layers'!$A$8:$A$324,0))</f>
        <v>-102006</v>
      </c>
      <c r="Q31" s="85">
        <f t="shared" si="2"/>
        <v>-238397</v>
      </c>
    </row>
    <row r="32" spans="1:17" ht="12" customHeight="1">
      <c r="A32" s="59">
        <v>20316</v>
      </c>
      <c r="B32" s="63" t="s">
        <v>21</v>
      </c>
      <c r="C32" s="67">
        <f>ROUND(VLOOKUP(A32,'Contribution Allocation_Report'!$A$9:$D$314,4,FALSE)*'OPEB Amounts_Report'!$C$326,0)</f>
        <v>473706</v>
      </c>
      <c r="D32" s="67">
        <f>ROUND(VLOOKUP(A32,'Contribution Allocation_Report'!$A$9:$D$314,4,FALSE)*'OPEB Amounts_Report'!$D$326,0)</f>
        <v>5077</v>
      </c>
      <c r="E32" s="67">
        <f>ROUND(VLOOKUP(A32,'Contribution Allocation_Report'!$A$9:$D$314,4,FALSE)*'OPEB Amounts_Report'!$E$326,0)</f>
        <v>4234</v>
      </c>
      <c r="F32" s="67">
        <f>ROUND(VLOOKUP(A32,'Contribution Allocation_Report'!$A$9:$D$314,4,FALSE)*'OPEB Amounts_Report'!$F$326,0)</f>
        <v>88642</v>
      </c>
      <c r="G32" s="67">
        <f>INDEX('Change in Proportion Layers'!$AF$8:$AF$324,MATCH('OPEB Amounts_Report'!A32,'Change in Proportion Layers'!$A$8:$A$324,0))</f>
        <v>125865</v>
      </c>
      <c r="H32" s="67">
        <f t="shared" si="1"/>
        <v>223818</v>
      </c>
      <c r="I32" s="67"/>
      <c r="J32" s="67">
        <f>ROUND(VLOOKUP(A32,'Contribution Allocation_Report'!$A$9:$D$314,4,FALSE)*'OPEB Amounts_Report'!$J$326,0)</f>
        <v>49481</v>
      </c>
      <c r="K32" s="67">
        <f>ROUND(VLOOKUP(A32,'Contribution Allocation_Report'!$A$9:$D$314,4,FALSE)*'OPEB Amounts_Report'!$K$326,0)</f>
        <v>300395</v>
      </c>
      <c r="L32" s="250">
        <f>INDEX('Change in Proportion Layers'!$AG$8:$AG$324,MATCH('OPEB Amounts_Report'!A32,'Change in Proportion Layers'!$A$8:$A$324,0))</f>
        <v>19875</v>
      </c>
      <c r="M32" s="67">
        <f t="shared" si="0"/>
        <v>369751</v>
      </c>
      <c r="N32" s="68"/>
      <c r="O32" s="68">
        <f>ROUND(VLOOKUP(A32,'Contribution Allocation_Report'!$A$9:$D$314,4,FALSE)*'OPEB Amounts_Report'!$O$326,0)</f>
        <v>-96426</v>
      </c>
      <c r="P32" s="68">
        <f>INDEX('Change in Proportion Layers'!$AD$8:$AD$324,MATCH('OPEB Amounts_Report'!A32,'Change in Proportion Layers'!$A$8:$A$324,0))</f>
        <v>43692</v>
      </c>
      <c r="Q32" s="68">
        <f t="shared" si="2"/>
        <v>-52734</v>
      </c>
    </row>
    <row r="33" spans="1:17" ht="12" customHeight="1">
      <c r="A33" s="227">
        <v>23121</v>
      </c>
      <c r="B33" s="228" t="s">
        <v>22</v>
      </c>
      <c r="C33" s="84">
        <f>ROUND(VLOOKUP(A33,'Contribution Allocation_Report'!$A$9:$D$314,4,FALSE)*'OPEB Amounts_Report'!$C$326,0)</f>
        <v>578557</v>
      </c>
      <c r="D33" s="84">
        <f>ROUND(VLOOKUP(A33,'Contribution Allocation_Report'!$A$9:$D$314,4,FALSE)*'OPEB Amounts_Report'!$D$326,0)</f>
        <v>6200</v>
      </c>
      <c r="E33" s="84">
        <f>ROUND(VLOOKUP(A33,'Contribution Allocation_Report'!$A$9:$D$314,4,FALSE)*'OPEB Amounts_Report'!$E$326,0)</f>
        <v>5172</v>
      </c>
      <c r="F33" s="84">
        <f>ROUND(VLOOKUP(A33,'Contribution Allocation_Report'!$A$9:$D$314,4,FALSE)*'OPEB Amounts_Report'!$F$326,0)</f>
        <v>108263</v>
      </c>
      <c r="G33" s="84">
        <f>INDEX('Change in Proportion Layers'!$AF$8:$AF$324,MATCH('OPEB Amounts_Report'!A33,'Change in Proportion Layers'!$A$8:$A$324,0))</f>
        <v>103453</v>
      </c>
      <c r="H33" s="84">
        <f t="shared" si="1"/>
        <v>223088</v>
      </c>
      <c r="I33" s="84"/>
      <c r="J33" s="84">
        <f>ROUND(VLOOKUP(A33,'Contribution Allocation_Report'!$A$9:$D$314,4,FALSE)*'OPEB Amounts_Report'!$J$326,0)</f>
        <v>60433</v>
      </c>
      <c r="K33" s="84">
        <f>ROUND(VLOOKUP(A33,'Contribution Allocation_Report'!$A$9:$D$314,4,FALSE)*'OPEB Amounts_Report'!$K$326,0)</f>
        <v>366885</v>
      </c>
      <c r="L33" s="84">
        <f>INDEX('Change in Proportion Layers'!$AG$8:$AG$324,MATCH('OPEB Amounts_Report'!A33,'Change in Proportion Layers'!$A$8:$A$324,0))</f>
        <v>48221</v>
      </c>
      <c r="M33" s="84">
        <f t="shared" si="0"/>
        <v>475539</v>
      </c>
      <c r="N33" s="85"/>
      <c r="O33" s="85">
        <f>ROUND(VLOOKUP(A33,'Contribution Allocation_Report'!$A$9:$D$314,4,FALSE)*'OPEB Amounts_Report'!$O$326,0)</f>
        <v>-117769</v>
      </c>
      <c r="P33" s="85">
        <f>INDEX('Change in Proportion Layers'!$AD$8:$AD$324,MATCH('OPEB Amounts_Report'!A33,'Change in Proportion Layers'!$A$8:$A$324,0))</f>
        <v>-15373</v>
      </c>
      <c r="Q33" s="85">
        <f t="shared" si="2"/>
        <v>-133142</v>
      </c>
    </row>
    <row r="34" spans="1:17" ht="12" customHeight="1">
      <c r="A34" s="59">
        <v>3004</v>
      </c>
      <c r="B34" s="63" t="s">
        <v>23</v>
      </c>
      <c r="C34" s="67">
        <f>ROUND(VLOOKUP(A34,'Contribution Allocation_Report'!$A$9:$D$314,4,FALSE)*'OPEB Amounts_Report'!$C$326,0)</f>
        <v>8454419</v>
      </c>
      <c r="D34" s="67">
        <f>ROUND(VLOOKUP(A34,'Contribution Allocation_Report'!$A$9:$D$314,4,FALSE)*'OPEB Amounts_Report'!$D$326,0)</f>
        <v>90606</v>
      </c>
      <c r="E34" s="67">
        <f>ROUND(VLOOKUP(A34,'Contribution Allocation_Report'!$A$9:$D$314,4,FALSE)*'OPEB Amounts_Report'!$E$326,0)</f>
        <v>75574</v>
      </c>
      <c r="F34" s="67">
        <f>ROUND(VLOOKUP(A34,'Contribution Allocation_Report'!$A$9:$D$314,4,FALSE)*'OPEB Amounts_Report'!$F$326,0)</f>
        <v>1582034</v>
      </c>
      <c r="G34" s="67">
        <f>INDEX('Change in Proportion Layers'!$AF$8:$AF$324,MATCH('OPEB Amounts_Report'!A34,'Change in Proportion Layers'!$A$8:$A$324,0))</f>
        <v>528888</v>
      </c>
      <c r="H34" s="67">
        <f t="shared" si="1"/>
        <v>2277102</v>
      </c>
      <c r="I34" s="67"/>
      <c r="J34" s="67">
        <f>ROUND(VLOOKUP(A34,'Contribution Allocation_Report'!$A$9:$D$314,4,FALSE)*'OPEB Amounts_Report'!$J$326,0)</f>
        <v>883101</v>
      </c>
      <c r="K34" s="67">
        <f>ROUND(VLOOKUP(A34,'Contribution Allocation_Report'!$A$9:$D$314,4,FALSE)*'OPEB Amounts_Report'!$K$326,0)</f>
        <v>5361260</v>
      </c>
      <c r="L34" s="67">
        <f>INDEX('Change in Proportion Layers'!$AG$8:$AG$324,MATCH('OPEB Amounts_Report'!A34,'Change in Proportion Layers'!$A$8:$A$324,0))</f>
        <v>897249</v>
      </c>
      <c r="M34" s="67">
        <f t="shared" si="0"/>
        <v>7141610</v>
      </c>
      <c r="N34" s="68"/>
      <c r="O34" s="68">
        <f>ROUND(VLOOKUP(A34,'Contribution Allocation_Report'!$A$9:$D$314,4,FALSE)*'OPEB Amounts_Report'!$O$326,0)</f>
        <v>-1720953</v>
      </c>
      <c r="P34" s="68">
        <f>INDEX('Change in Proportion Layers'!$AD$8:$AD$324,MATCH('OPEB Amounts_Report'!A34,'Change in Proportion Layers'!$A$8:$A$324,0))</f>
        <v>-122898</v>
      </c>
      <c r="Q34" s="68">
        <f t="shared" si="2"/>
        <v>-1843851</v>
      </c>
    </row>
    <row r="35" spans="1:17" ht="12" customHeight="1">
      <c r="A35" s="227">
        <v>16050</v>
      </c>
      <c r="B35" s="228" t="s">
        <v>24</v>
      </c>
      <c r="C35" s="84">
        <f>ROUND(VLOOKUP(A35,'Contribution Allocation_Report'!$A$9:$D$314,4,FALSE)*'OPEB Amounts_Report'!$C$326,0)</f>
        <v>5544438</v>
      </c>
      <c r="D35" s="84">
        <f>ROUND(VLOOKUP(A35,'Contribution Allocation_Report'!$A$9:$D$314,4,FALSE)*'OPEB Amounts_Report'!$D$326,0)</f>
        <v>59420</v>
      </c>
      <c r="E35" s="84">
        <f>ROUND(VLOOKUP(A35,'Contribution Allocation_Report'!$A$9:$D$314,4,FALSE)*'OPEB Amounts_Report'!$E$326,0)</f>
        <v>49562</v>
      </c>
      <c r="F35" s="84">
        <f>ROUND(VLOOKUP(A35,'Contribution Allocation_Report'!$A$9:$D$314,4,FALSE)*'OPEB Amounts_Report'!$F$326,0)</f>
        <v>1037503</v>
      </c>
      <c r="G35" s="84">
        <f>INDEX('Change in Proportion Layers'!$AF$8:$AF$324,MATCH('OPEB Amounts_Report'!A35,'Change in Proportion Layers'!$A$8:$A$324,0))</f>
        <v>209382</v>
      </c>
      <c r="H35" s="84">
        <f t="shared" si="1"/>
        <v>1355867</v>
      </c>
      <c r="I35" s="84"/>
      <c r="J35" s="84">
        <f>ROUND(VLOOKUP(A35,'Contribution Allocation_Report'!$A$9:$D$314,4,FALSE)*'OPEB Amounts_Report'!$J$326,0)</f>
        <v>579141</v>
      </c>
      <c r="K35" s="84">
        <f>ROUND(VLOOKUP(A35,'Contribution Allocation_Report'!$A$9:$D$314,4,FALSE)*'OPEB Amounts_Report'!$K$326,0)</f>
        <v>3515933</v>
      </c>
      <c r="L35" s="84">
        <f>INDEX('Change in Proportion Layers'!$AG$8:$AG$324,MATCH('OPEB Amounts_Report'!A35,'Change in Proportion Layers'!$A$8:$A$324,0))</f>
        <v>737185</v>
      </c>
      <c r="M35" s="84">
        <f t="shared" si="0"/>
        <v>4832259</v>
      </c>
      <c r="N35" s="85"/>
      <c r="O35" s="85">
        <f>ROUND(VLOOKUP(A35,'Contribution Allocation_Report'!$A$9:$D$314,4,FALSE)*'OPEB Amounts_Report'!$O$326,0)</f>
        <v>-1128607</v>
      </c>
      <c r="P35" s="85">
        <f>INDEX('Change in Proportion Layers'!$AD$8:$AD$324,MATCH('OPEB Amounts_Report'!A35,'Change in Proportion Layers'!$A$8:$A$324,0))</f>
        <v>-112115</v>
      </c>
      <c r="Q35" s="85">
        <f t="shared" si="2"/>
        <v>-1240722</v>
      </c>
    </row>
    <row r="36" spans="1:17" ht="12" customHeight="1">
      <c r="A36" s="59">
        <v>14043</v>
      </c>
      <c r="B36" s="63" t="s">
        <v>25</v>
      </c>
      <c r="C36" s="67">
        <f>ROUND(VLOOKUP(A36,'Contribution Allocation_Report'!$A$9:$D$314,4,FALSE)*'OPEB Amounts_Report'!$C$326,0)</f>
        <v>8474599</v>
      </c>
      <c r="D36" s="67">
        <f>ROUND(VLOOKUP(A36,'Contribution Allocation_Report'!$A$9:$D$314,4,FALSE)*'OPEB Amounts_Report'!$D$326,0)</f>
        <v>90823</v>
      </c>
      <c r="E36" s="67">
        <f>ROUND(VLOOKUP(A36,'Contribution Allocation_Report'!$A$9:$D$314,4,FALSE)*'OPEB Amounts_Report'!$E$326,0)</f>
        <v>75755</v>
      </c>
      <c r="F36" s="67">
        <f>ROUND(VLOOKUP(A36,'Contribution Allocation_Report'!$A$9:$D$314,4,FALSE)*'OPEB Amounts_Report'!$F$326,0)</f>
        <v>1585810</v>
      </c>
      <c r="G36" s="67">
        <f>INDEX('Change in Proportion Layers'!$AF$8:$AF$324,MATCH('OPEB Amounts_Report'!A36,'Change in Proportion Layers'!$A$8:$A$324,0))</f>
        <v>740404</v>
      </c>
      <c r="H36" s="67">
        <f t="shared" si="1"/>
        <v>2492792</v>
      </c>
      <c r="I36" s="67"/>
      <c r="J36" s="67">
        <f>ROUND(VLOOKUP(A36,'Contribution Allocation_Report'!$A$9:$D$314,4,FALSE)*'OPEB Amounts_Report'!$J$326,0)</f>
        <v>885209</v>
      </c>
      <c r="K36" s="67">
        <f>ROUND(VLOOKUP(A36,'Contribution Allocation_Report'!$A$9:$D$314,4,FALSE)*'OPEB Amounts_Report'!$K$326,0)</f>
        <v>5374056</v>
      </c>
      <c r="L36" s="67">
        <f>INDEX('Change in Proportion Layers'!$AG$8:$AG$324,MATCH('OPEB Amounts_Report'!A36,'Change in Proportion Layers'!$A$8:$A$324,0))</f>
        <v>1128920</v>
      </c>
      <c r="M36" s="67">
        <f t="shared" si="0"/>
        <v>7388185</v>
      </c>
      <c r="N36" s="68"/>
      <c r="O36" s="68">
        <f>ROUND(VLOOKUP(A36,'Contribution Allocation_Report'!$A$9:$D$314,4,FALSE)*'OPEB Amounts_Report'!$O$326,0)</f>
        <v>-1725061</v>
      </c>
      <c r="P36" s="68">
        <f>INDEX('Change in Proportion Layers'!$AD$8:$AD$324,MATCH('OPEB Amounts_Report'!A36,'Change in Proportion Layers'!$A$8:$A$324,0))</f>
        <v>77025</v>
      </c>
      <c r="Q36" s="68">
        <f t="shared" si="2"/>
        <v>-1648036</v>
      </c>
    </row>
    <row r="37" spans="1:17" ht="12" customHeight="1">
      <c r="A37" s="227">
        <v>3010</v>
      </c>
      <c r="B37" s="228" t="s">
        <v>26</v>
      </c>
      <c r="C37" s="84">
        <f>ROUND(VLOOKUP(A37,'Contribution Allocation_Report'!$A$9:$D$314,4,FALSE)*'OPEB Amounts_Report'!$C$326,0)</f>
        <v>51761038</v>
      </c>
      <c r="D37" s="84">
        <f>ROUND(VLOOKUP(A37,'Contribution Allocation_Report'!$A$9:$D$314,4,FALSE)*'OPEB Amounts_Report'!$D$326,0)</f>
        <v>554725</v>
      </c>
      <c r="E37" s="84">
        <f>ROUND(VLOOKUP(A37,'Contribution Allocation_Report'!$A$9:$D$314,4,FALSE)*'OPEB Amounts_Report'!$E$326,0)</f>
        <v>462694</v>
      </c>
      <c r="F37" s="84">
        <f>ROUND(VLOOKUP(A37,'Contribution Allocation_Report'!$A$9:$D$314,4,FALSE)*'OPEB Amounts_Report'!$F$326,0)</f>
        <v>9685787</v>
      </c>
      <c r="G37" s="84">
        <f>INDEX('Change in Proportion Layers'!$AF$8:$AF$324,MATCH('OPEB Amounts_Report'!A37,'Change in Proportion Layers'!$A$8:$A$324,0))</f>
        <v>4629528</v>
      </c>
      <c r="H37" s="84">
        <f t="shared" si="1"/>
        <v>15332734</v>
      </c>
      <c r="I37" s="84"/>
      <c r="J37" s="84">
        <f>ROUND(VLOOKUP(A37,'Contribution Allocation_Report'!$A$9:$D$314,4,FALSE)*'OPEB Amounts_Report'!$J$326,0)</f>
        <v>5406667</v>
      </c>
      <c r="K37" s="84">
        <f>ROUND(VLOOKUP(A37,'Contribution Allocation_Report'!$A$9:$D$314,4,FALSE)*'OPEB Amounts_Report'!$K$326,0)</f>
        <v>32823587</v>
      </c>
      <c r="L37" s="251">
        <f>INDEX('Change in Proportion Layers'!$AG$8:$AG$324,MATCH('OPEB Amounts_Report'!A37,'Change in Proportion Layers'!$A$8:$A$324,0))</f>
        <v>4489782</v>
      </c>
      <c r="M37" s="84">
        <f t="shared" si="0"/>
        <v>42720036</v>
      </c>
      <c r="N37" s="85"/>
      <c r="O37" s="85">
        <f>ROUND(VLOOKUP(A37,'Contribution Allocation_Report'!$A$9:$D$314,4,FALSE)*'OPEB Amounts_Report'!$O$326,0)</f>
        <v>-10536303</v>
      </c>
      <c r="P37" s="85">
        <f>INDEX('Change in Proportion Layers'!$AD$8:$AD$324,MATCH('OPEB Amounts_Report'!A37,'Change in Proportion Layers'!$A$8:$A$324,0))</f>
        <v>-350041</v>
      </c>
      <c r="Q37" s="85">
        <f t="shared" si="2"/>
        <v>-10886344</v>
      </c>
    </row>
    <row r="38" spans="1:17" ht="12" customHeight="1">
      <c r="A38" s="59">
        <v>29086</v>
      </c>
      <c r="B38" s="63" t="s">
        <v>27</v>
      </c>
      <c r="C38" s="67">
        <f>ROUND(VLOOKUP(A38,'Contribution Allocation_Report'!$A$9:$D$314,4,FALSE)*'OPEB Amounts_Report'!$C$326,0)</f>
        <v>9610104</v>
      </c>
      <c r="D38" s="67">
        <f>ROUND(VLOOKUP(A38,'Contribution Allocation_Report'!$A$9:$D$314,4,FALSE)*'OPEB Amounts_Report'!$D$326,0)</f>
        <v>102992</v>
      </c>
      <c r="E38" s="67">
        <f>ROUND(VLOOKUP(A38,'Contribution Allocation_Report'!$A$9:$D$314,4,FALSE)*'OPEB Amounts_Report'!$E$326,0)</f>
        <v>85905</v>
      </c>
      <c r="F38" s="67">
        <f>ROUND(VLOOKUP(A38,'Contribution Allocation_Report'!$A$9:$D$314,4,FALSE)*'OPEB Amounts_Report'!$F$326,0)</f>
        <v>1798291</v>
      </c>
      <c r="G38" s="67">
        <f>INDEX('Change in Proportion Layers'!$AF$8:$AF$324,MATCH('OPEB Amounts_Report'!A38,'Change in Proportion Layers'!$A$8:$A$324,0))</f>
        <v>3012655</v>
      </c>
      <c r="H38" s="67">
        <f t="shared" si="1"/>
        <v>4999843</v>
      </c>
      <c r="I38" s="67"/>
      <c r="J38" s="67">
        <f>ROUND(VLOOKUP(A38,'Contribution Allocation_Report'!$A$9:$D$314,4,FALSE)*'OPEB Amounts_Report'!$J$326,0)</f>
        <v>1003818</v>
      </c>
      <c r="K38" s="67">
        <f>ROUND(VLOOKUP(A38,'Contribution Allocation_Report'!$A$9:$D$314,4,FALSE)*'OPEB Amounts_Report'!$K$326,0)</f>
        <v>6094122</v>
      </c>
      <c r="L38" s="250">
        <f>INDEX('Change in Proportion Layers'!$AG$8:$AG$324,MATCH('OPEB Amounts_Report'!A38,'Change in Proportion Layers'!$A$8:$A$324,0))</f>
        <v>669495</v>
      </c>
      <c r="M38" s="67">
        <f t="shared" si="0"/>
        <v>7767435</v>
      </c>
      <c r="N38" s="68"/>
      <c r="O38" s="68">
        <f>ROUND(VLOOKUP(A38,'Contribution Allocation_Report'!$A$9:$D$314,4,FALSE)*'OPEB Amounts_Report'!$O$326,0)</f>
        <v>-1956201</v>
      </c>
      <c r="P38" s="68">
        <f>INDEX('Change in Proportion Layers'!$AD$8:$AD$324,MATCH('OPEB Amounts_Report'!A38,'Change in Proportion Layers'!$A$8:$A$324,0))</f>
        <v>656110</v>
      </c>
      <c r="Q38" s="68">
        <f t="shared" si="2"/>
        <v>-1300091</v>
      </c>
    </row>
    <row r="39" spans="1:17" ht="12" customHeight="1">
      <c r="A39" s="227">
        <v>16051</v>
      </c>
      <c r="B39" s="228" t="s">
        <v>28</v>
      </c>
      <c r="C39" s="84">
        <f>ROUND(VLOOKUP(A39,'Contribution Allocation_Report'!$A$9:$D$314,4,FALSE)*'OPEB Amounts_Report'!$C$326,0)</f>
        <v>6664655</v>
      </c>
      <c r="D39" s="84">
        <f>ROUND(VLOOKUP(A39,'Contribution Allocation_Report'!$A$9:$D$314,4,FALSE)*'OPEB Amounts_Report'!$D$326,0)</f>
        <v>71425</v>
      </c>
      <c r="E39" s="84">
        <f>ROUND(VLOOKUP(A39,'Contribution Allocation_Report'!$A$9:$D$314,4,FALSE)*'OPEB Amounts_Report'!$E$326,0)</f>
        <v>59576</v>
      </c>
      <c r="F39" s="84">
        <f>ROUND(VLOOKUP(A39,'Contribution Allocation_Report'!$A$9:$D$314,4,FALSE)*'OPEB Amounts_Report'!$F$326,0)</f>
        <v>1247124</v>
      </c>
      <c r="G39" s="84">
        <f>INDEX('Change in Proportion Layers'!$AF$8:$AF$324,MATCH('OPEB Amounts_Report'!A39,'Change in Proportion Layers'!$A$8:$A$324,0))</f>
        <v>553105</v>
      </c>
      <c r="H39" s="84">
        <f t="shared" si="1"/>
        <v>1931230</v>
      </c>
      <c r="I39" s="84"/>
      <c r="J39" s="84">
        <f>ROUND(VLOOKUP(A39,'Contribution Allocation_Report'!$A$9:$D$314,4,FALSE)*'OPEB Amounts_Report'!$J$326,0)</f>
        <v>696152</v>
      </c>
      <c r="K39" s="84">
        <f>ROUND(VLOOKUP(A39,'Contribution Allocation_Report'!$A$9:$D$314,4,FALSE)*'OPEB Amounts_Report'!$K$326,0)</f>
        <v>4226304</v>
      </c>
      <c r="L39" s="84">
        <f>INDEX('Change in Proportion Layers'!$AG$8:$AG$324,MATCH('OPEB Amounts_Report'!A39,'Change in Proportion Layers'!$A$8:$A$324,0))</f>
        <v>571649</v>
      </c>
      <c r="M39" s="84">
        <f t="shared" si="0"/>
        <v>5494105</v>
      </c>
      <c r="N39" s="85"/>
      <c r="O39" s="85">
        <f>ROUND(VLOOKUP(A39,'Contribution Allocation_Report'!$A$9:$D$314,4,FALSE)*'OPEB Amounts_Report'!$O$326,0)</f>
        <v>-1356635</v>
      </c>
      <c r="P39" s="85">
        <f>INDEX('Change in Proportion Layers'!$AD$8:$AD$324,MATCH('OPEB Amounts_Report'!A39,'Change in Proportion Layers'!$A$8:$A$324,0))</f>
        <v>57885</v>
      </c>
      <c r="Q39" s="85">
        <f t="shared" si="2"/>
        <v>-1298750</v>
      </c>
    </row>
    <row r="40" spans="1:17" ht="12" customHeight="1">
      <c r="A40" s="59">
        <v>26077</v>
      </c>
      <c r="B40" s="63" t="s">
        <v>29</v>
      </c>
      <c r="C40" s="67">
        <f>ROUND(VLOOKUP(A40,'Contribution Allocation_Report'!$A$9:$D$314,4,FALSE)*'OPEB Amounts_Report'!$C$326,0)</f>
        <v>1360132</v>
      </c>
      <c r="D40" s="67">
        <f>ROUND(VLOOKUP(A40,'Contribution Allocation_Report'!$A$9:$D$314,4,FALSE)*'OPEB Amounts_Report'!$D$326,0)</f>
        <v>14577</v>
      </c>
      <c r="E40" s="67">
        <f>ROUND(VLOOKUP(A40,'Contribution Allocation_Report'!$A$9:$D$314,4,FALSE)*'OPEB Amounts_Report'!$E$326,0)</f>
        <v>12158</v>
      </c>
      <c r="F40" s="67">
        <f>ROUND(VLOOKUP(A40,'Contribution Allocation_Report'!$A$9:$D$314,4,FALSE)*'OPEB Amounts_Report'!$F$326,0)</f>
        <v>254515</v>
      </c>
      <c r="G40" s="67">
        <f>INDEX('Change in Proportion Layers'!$AF$8:$AF$324,MATCH('OPEB Amounts_Report'!A40,'Change in Proportion Layers'!$A$8:$A$324,0))</f>
        <v>137612</v>
      </c>
      <c r="H40" s="67">
        <f t="shared" si="1"/>
        <v>418862</v>
      </c>
      <c r="I40" s="67"/>
      <c r="J40" s="67">
        <f>ROUND(VLOOKUP(A40,'Contribution Allocation_Report'!$A$9:$D$314,4,FALSE)*'OPEB Amounts_Report'!$J$326,0)</f>
        <v>142072</v>
      </c>
      <c r="K40" s="67">
        <f>ROUND(VLOOKUP(A40,'Contribution Allocation_Report'!$A$9:$D$314,4,FALSE)*'OPEB Amounts_Report'!$K$326,0)</f>
        <v>862510</v>
      </c>
      <c r="L40" s="67">
        <f>INDEX('Change in Proportion Layers'!$AG$8:$AG$324,MATCH('OPEB Amounts_Report'!A40,'Change in Proportion Layers'!$A$8:$A$324,0))</f>
        <v>25498</v>
      </c>
      <c r="M40" s="67">
        <f t="shared" si="0"/>
        <v>1030080</v>
      </c>
      <c r="N40" s="68"/>
      <c r="O40" s="68">
        <f>ROUND(VLOOKUP(A40,'Contribution Allocation_Report'!$A$9:$D$314,4,FALSE)*'OPEB Amounts_Report'!$O$326,0)</f>
        <v>-276864</v>
      </c>
      <c r="P40" s="68">
        <f>INDEX('Change in Proportion Layers'!$AD$8:$AD$324,MATCH('OPEB Amounts_Report'!A40,'Change in Proportion Layers'!$A$8:$A$324,0))</f>
        <v>29950</v>
      </c>
      <c r="Q40" s="68">
        <f t="shared" si="2"/>
        <v>-246914</v>
      </c>
    </row>
    <row r="41" spans="1:17" ht="12" customHeight="1">
      <c r="A41" s="227">
        <v>3005</v>
      </c>
      <c r="B41" s="228" t="s">
        <v>30</v>
      </c>
      <c r="C41" s="84">
        <f>ROUND(VLOOKUP(A41,'Contribution Allocation_Report'!$A$9:$D$314,4,FALSE)*'OPEB Amounts_Report'!$C$326,0)</f>
        <v>17098024</v>
      </c>
      <c r="D41" s="84">
        <f>ROUND(VLOOKUP(A41,'Contribution Allocation_Report'!$A$9:$D$314,4,FALSE)*'OPEB Amounts_Report'!$D$326,0)</f>
        <v>183240</v>
      </c>
      <c r="E41" s="84">
        <f>ROUND(VLOOKUP(A41,'Contribution Allocation_Report'!$A$9:$D$314,4,FALSE)*'OPEB Amounts_Report'!$E$326,0)</f>
        <v>152840</v>
      </c>
      <c r="F41" s="84">
        <f>ROUND(VLOOKUP(A41,'Contribution Allocation_Report'!$A$9:$D$314,4,FALSE)*'OPEB Amounts_Report'!$F$326,0)</f>
        <v>3199469</v>
      </c>
      <c r="G41" s="84">
        <f>INDEX('Change in Proportion Layers'!$AF$8:$AF$324,MATCH('OPEB Amounts_Report'!A41,'Change in Proportion Layers'!$A$8:$A$324,0))</f>
        <v>3252365</v>
      </c>
      <c r="H41" s="84">
        <f t="shared" si="1"/>
        <v>6787914</v>
      </c>
      <c r="I41" s="84"/>
      <c r="J41" s="84">
        <f>ROUND(VLOOKUP(A41,'Contribution Allocation_Report'!$A$9:$D$314,4,FALSE)*'OPEB Amounts_Report'!$J$326,0)</f>
        <v>1785964</v>
      </c>
      <c r="K41" s="84">
        <f>ROUND(VLOOKUP(A41,'Contribution Allocation_Report'!$A$9:$D$314,4,FALSE)*'OPEB Amounts_Report'!$K$326,0)</f>
        <v>10842489</v>
      </c>
      <c r="L41" s="84">
        <f>INDEX('Change in Proportion Layers'!$AG$8:$AG$324,MATCH('OPEB Amounts_Report'!A41,'Change in Proportion Layers'!$A$8:$A$324,0))</f>
        <v>758359</v>
      </c>
      <c r="M41" s="84">
        <f t="shared" si="0"/>
        <v>13386812</v>
      </c>
      <c r="N41" s="85"/>
      <c r="O41" s="85">
        <f>ROUND(VLOOKUP(A41,'Contribution Allocation_Report'!$A$9:$D$314,4,FALSE)*'OPEB Amounts_Report'!$O$326,0)</f>
        <v>-3480416</v>
      </c>
      <c r="P41" s="85">
        <f>INDEX('Change in Proportion Layers'!$AD$8:$AD$324,MATCH('OPEB Amounts_Report'!A41,'Change in Proportion Layers'!$A$8:$A$324,0))</f>
        <v>148933</v>
      </c>
      <c r="Q41" s="85">
        <f t="shared" si="2"/>
        <v>-3331483</v>
      </c>
    </row>
    <row r="42" spans="1:17" ht="12" customHeight="1">
      <c r="A42" s="59">
        <v>26078</v>
      </c>
      <c r="B42" s="63" t="s">
        <v>31</v>
      </c>
      <c r="C42" s="67">
        <f>ROUND(VLOOKUP(A42,'Contribution Allocation_Report'!$A$9:$D$314,4,FALSE)*'OPEB Amounts_Report'!$C$326,0)</f>
        <v>548722</v>
      </c>
      <c r="D42" s="67">
        <f>ROUND(VLOOKUP(A42,'Contribution Allocation_Report'!$A$9:$D$314,4,FALSE)*'OPEB Amounts_Report'!$D$326,0)</f>
        <v>5881</v>
      </c>
      <c r="E42" s="67">
        <f>ROUND(VLOOKUP(A42,'Contribution Allocation_Report'!$A$9:$D$314,4,FALSE)*'OPEB Amounts_Report'!$E$326,0)</f>
        <v>4905</v>
      </c>
      <c r="F42" s="67">
        <f>ROUND(VLOOKUP(A42,'Contribution Allocation_Report'!$A$9:$D$314,4,FALSE)*'OPEB Amounts_Report'!$F$326,0)</f>
        <v>102680</v>
      </c>
      <c r="G42" s="67">
        <f>INDEX('Change in Proportion Layers'!$AF$8:$AF$324,MATCH('OPEB Amounts_Report'!A42,'Change in Proportion Layers'!$A$8:$A$324,0))</f>
        <v>79746</v>
      </c>
      <c r="H42" s="67">
        <f t="shared" si="1"/>
        <v>193212</v>
      </c>
      <c r="I42" s="67"/>
      <c r="J42" s="67">
        <f>ROUND(VLOOKUP(A42,'Contribution Allocation_Report'!$A$9:$D$314,4,FALSE)*'OPEB Amounts_Report'!$J$326,0)</f>
        <v>57316</v>
      </c>
      <c r="K42" s="67">
        <f>ROUND(VLOOKUP(A42,'Contribution Allocation_Report'!$A$9:$D$314,4,FALSE)*'OPEB Amounts_Report'!$K$326,0)</f>
        <v>347965</v>
      </c>
      <c r="L42" s="67">
        <f>INDEX('Change in Proportion Layers'!$AG$8:$AG$324,MATCH('OPEB Amounts_Report'!A42,'Change in Proportion Layers'!$A$8:$A$324,0))</f>
        <v>84503</v>
      </c>
      <c r="M42" s="67">
        <f t="shared" si="0"/>
        <v>489784</v>
      </c>
      <c r="N42" s="68"/>
      <c r="O42" s="68">
        <f>ROUND(VLOOKUP(A42,'Contribution Allocation_Report'!$A$9:$D$314,4,FALSE)*'OPEB Amounts_Report'!$O$326,0)</f>
        <v>-111696</v>
      </c>
      <c r="P42" s="68">
        <f>INDEX('Change in Proportion Layers'!$AD$8:$AD$324,MATCH('OPEB Amounts_Report'!A42,'Change in Proportion Layers'!$A$8:$A$324,0))</f>
        <v>338</v>
      </c>
      <c r="Q42" s="68">
        <f t="shared" si="2"/>
        <v>-111358</v>
      </c>
    </row>
    <row r="43" spans="1:17" ht="12" customHeight="1">
      <c r="A43" s="227">
        <v>16053</v>
      </c>
      <c r="B43" s="228" t="s">
        <v>32</v>
      </c>
      <c r="C43" s="84">
        <f>ROUND(VLOOKUP(A43,'Contribution Allocation_Report'!$A$9:$D$314,4,FALSE)*'OPEB Amounts_Report'!$C$326,0)</f>
        <v>16632221</v>
      </c>
      <c r="D43" s="84">
        <f>ROUND(VLOOKUP(A43,'Contribution Allocation_Report'!$A$9:$D$314,4,FALSE)*'OPEB Amounts_Report'!$D$326,0)</f>
        <v>178248</v>
      </c>
      <c r="E43" s="84">
        <f>ROUND(VLOOKUP(A43,'Contribution Allocation_Report'!$A$9:$D$314,4,FALSE)*'OPEB Amounts_Report'!$E$326,0)</f>
        <v>148676</v>
      </c>
      <c r="F43" s="84">
        <f>ROUND(VLOOKUP(A43,'Contribution Allocation_Report'!$A$9:$D$314,4,FALSE)*'OPEB Amounts_Report'!$F$326,0)</f>
        <v>3112305</v>
      </c>
      <c r="G43" s="84">
        <f>INDEX('Change in Proportion Layers'!$AF$8:$AF$324,MATCH('OPEB Amounts_Report'!A43,'Change in Proportion Layers'!$A$8:$A$324,0))</f>
        <v>3314128</v>
      </c>
      <c r="H43" s="84">
        <f t="shared" si="1"/>
        <v>6753357</v>
      </c>
      <c r="I43" s="84"/>
      <c r="J43" s="84">
        <f>ROUND(VLOOKUP(A43,'Contribution Allocation_Report'!$A$9:$D$314,4,FALSE)*'OPEB Amounts_Report'!$J$326,0)</f>
        <v>1737308</v>
      </c>
      <c r="K43" s="84">
        <f>ROUND(VLOOKUP(A43,'Contribution Allocation_Report'!$A$9:$D$314,4,FALSE)*'OPEB Amounts_Report'!$K$326,0)</f>
        <v>10547106</v>
      </c>
      <c r="L43" s="251">
        <f>INDEX('Change in Proportion Layers'!$AG$8:$AG$324,MATCH('OPEB Amounts_Report'!A43,'Change in Proportion Layers'!$A$8:$A$324,0))</f>
        <v>2747553</v>
      </c>
      <c r="M43" s="84">
        <f t="shared" si="0"/>
        <v>15031967</v>
      </c>
      <c r="N43" s="85"/>
      <c r="O43" s="85">
        <f>ROUND(VLOOKUP(A43,'Contribution Allocation_Report'!$A$9:$D$314,4,FALSE)*'OPEB Amounts_Report'!$O$326,0)</f>
        <v>-3385599</v>
      </c>
      <c r="P43" s="85">
        <f>INDEX('Change in Proportion Layers'!$AD$8:$AD$324,MATCH('OPEB Amounts_Report'!A43,'Change in Proportion Layers'!$A$8:$A$324,0))</f>
        <v>279295</v>
      </c>
      <c r="Q43" s="85">
        <f t="shared" si="2"/>
        <v>-3106304</v>
      </c>
    </row>
    <row r="44" spans="1:17" ht="12" customHeight="1">
      <c r="A44" s="59">
        <v>2123</v>
      </c>
      <c r="B44" s="63" t="s">
        <v>33</v>
      </c>
      <c r="C44" s="67">
        <f>ROUND(VLOOKUP(A44,'Contribution Allocation_Report'!$A$9:$D$314,4,FALSE)*'OPEB Amounts_Report'!$C$326,0)</f>
        <v>28133298</v>
      </c>
      <c r="D44" s="67">
        <f>ROUND(VLOOKUP(A44,'Contribution Allocation_Report'!$A$9:$D$314,4,FALSE)*'OPEB Amounts_Report'!$D$326,0)</f>
        <v>301506</v>
      </c>
      <c r="E44" s="67">
        <f>ROUND(VLOOKUP(A44,'Contribution Allocation_Report'!$A$9:$D$314,4,FALSE)*'OPEB Amounts_Report'!$E$326,0)</f>
        <v>251484</v>
      </c>
      <c r="F44" s="67">
        <f>ROUND(VLOOKUP(A44,'Contribution Allocation_Report'!$A$9:$D$314,4,FALSE)*'OPEB Amounts_Report'!$F$326,0)</f>
        <v>5264445</v>
      </c>
      <c r="G44" s="67">
        <f>INDEX('Change in Proportion Layers'!$AF$8:$AF$324,MATCH('OPEB Amounts_Report'!A44,'Change in Proportion Layers'!$A$8:$A$324,0))</f>
        <v>5376032</v>
      </c>
      <c r="H44" s="67">
        <f t="shared" si="1"/>
        <v>11193467</v>
      </c>
      <c r="I44" s="67"/>
      <c r="J44" s="67">
        <f>ROUND(VLOOKUP(A44,'Contribution Allocation_Report'!$A$9:$D$314,4,FALSE)*'OPEB Amounts_Report'!$J$326,0)</f>
        <v>2938646</v>
      </c>
      <c r="K44" s="67">
        <f>ROUND(VLOOKUP(A44,'Contribution Allocation_Report'!$A$9:$D$314,4,FALSE)*'OPEB Amounts_Report'!$K$326,0)</f>
        <v>17840364</v>
      </c>
      <c r="L44" s="250">
        <f>INDEX('Change in Proportion Layers'!$AG$8:$AG$324,MATCH('OPEB Amounts_Report'!A44,'Change in Proportion Layers'!$A$8:$A$324,0))</f>
        <v>7382471</v>
      </c>
      <c r="M44" s="67">
        <f t="shared" si="0"/>
        <v>28161481</v>
      </c>
      <c r="N44" s="68"/>
      <c r="O44" s="68">
        <f>ROUND(VLOOKUP(A44,'Contribution Allocation_Report'!$A$9:$D$314,4,FALSE)*'OPEB Amounts_Report'!$O$326,0)</f>
        <v>-5726720</v>
      </c>
      <c r="P44" s="68">
        <f>INDEX('Change in Proportion Layers'!$AD$8:$AD$324,MATCH('OPEB Amounts_Report'!A44,'Change in Proportion Layers'!$A$8:$A$324,0))</f>
        <v>-1383757</v>
      </c>
      <c r="Q44" s="68">
        <f t="shared" si="2"/>
        <v>-7110477</v>
      </c>
    </row>
    <row r="45" spans="1:17" ht="12" customHeight="1">
      <c r="A45" s="227">
        <v>2150</v>
      </c>
      <c r="B45" s="228" t="s">
        <v>34</v>
      </c>
      <c r="C45" s="84">
        <f>ROUND(VLOOKUP(A45,'Contribution Allocation_Report'!$A$9:$D$314,4,FALSE)*'OPEB Amounts_Report'!$C$326,0)</f>
        <v>2370901</v>
      </c>
      <c r="D45" s="84">
        <f>ROUND(VLOOKUP(A45,'Contribution Allocation_Report'!$A$9:$D$314,4,FALSE)*'OPEB Amounts_Report'!$D$326,0)</f>
        <v>25409</v>
      </c>
      <c r="E45" s="84">
        <f>ROUND(VLOOKUP(A45,'Contribution Allocation_Report'!$A$9:$D$314,4,FALSE)*'OPEB Amounts_Report'!$E$326,0)</f>
        <v>21194</v>
      </c>
      <c r="F45" s="84">
        <f>ROUND(VLOOKUP(A45,'Contribution Allocation_Report'!$A$9:$D$314,4,FALSE)*'OPEB Amounts_Report'!$F$326,0)</f>
        <v>443655</v>
      </c>
      <c r="G45" s="84">
        <f>INDEX('Change in Proportion Layers'!$AF$8:$AF$324,MATCH('OPEB Amounts_Report'!A45,'Change in Proportion Layers'!$A$8:$A$324,0))</f>
        <v>1807895</v>
      </c>
      <c r="H45" s="84">
        <f t="shared" si="1"/>
        <v>2298153</v>
      </c>
      <c r="I45" s="84"/>
      <c r="J45" s="84">
        <f>ROUND(VLOOKUP(A45,'Contribution Allocation_Report'!$A$9:$D$314,4,FALSE)*'OPEB Amounts_Report'!$J$326,0)</f>
        <v>247651</v>
      </c>
      <c r="K45" s="84">
        <f>ROUND(VLOOKUP(A45,'Contribution Allocation_Report'!$A$9:$D$314,4,FALSE)*'OPEB Amounts_Report'!$K$326,0)</f>
        <v>1503476</v>
      </c>
      <c r="L45" s="84">
        <f>INDEX('Change in Proportion Layers'!$AG$8:$AG$324,MATCH('OPEB Amounts_Report'!A45,'Change in Proportion Layers'!$A$8:$A$324,0))</f>
        <v>57027</v>
      </c>
      <c r="M45" s="84">
        <f t="shared" si="0"/>
        <v>1808154</v>
      </c>
      <c r="N45" s="85"/>
      <c r="O45" s="85">
        <f>ROUND(VLOOKUP(A45,'Contribution Allocation_Report'!$A$9:$D$314,4,FALSE)*'OPEB Amounts_Report'!$O$326,0)</f>
        <v>-482613</v>
      </c>
      <c r="P45" s="85">
        <f>INDEX('Change in Proportion Layers'!$AD$8:$AD$324,MATCH('OPEB Amounts_Report'!A45,'Change in Proportion Layers'!$A$8:$A$324,0))</f>
        <v>501143</v>
      </c>
      <c r="Q45" s="85">
        <f t="shared" si="2"/>
        <v>18530</v>
      </c>
    </row>
    <row r="46" spans="1:17" ht="12" customHeight="1">
      <c r="A46" s="59">
        <v>2336</v>
      </c>
      <c r="B46" s="63" t="s">
        <v>35</v>
      </c>
      <c r="C46" s="67">
        <f>ROUND(VLOOKUP(A46,'Contribution Allocation_Report'!$A$9:$D$314,4,FALSE)*'OPEB Amounts_Report'!$C$326,0)</f>
        <v>446464</v>
      </c>
      <c r="D46" s="67">
        <f>ROUND(VLOOKUP(A46,'Contribution Allocation_Report'!$A$9:$D$314,4,FALSE)*'OPEB Amounts_Report'!$D$326,0)</f>
        <v>4785</v>
      </c>
      <c r="E46" s="67">
        <f>ROUND(VLOOKUP(A46,'Contribution Allocation_Report'!$A$9:$D$314,4,FALSE)*'OPEB Amounts_Report'!$E$326,0)</f>
        <v>3991</v>
      </c>
      <c r="F46" s="67">
        <f>ROUND(VLOOKUP(A46,'Contribution Allocation_Report'!$A$9:$D$314,4,FALSE)*'OPEB Amounts_Report'!$F$326,0)</f>
        <v>83545</v>
      </c>
      <c r="G46" s="67">
        <f>INDEX('Change in Proportion Layers'!$AF$8:$AF$324,MATCH('OPEB Amounts_Report'!A46,'Change in Proportion Layers'!$A$8:$A$324,0))</f>
        <v>58222</v>
      </c>
      <c r="H46" s="67">
        <f t="shared" si="1"/>
        <v>150543</v>
      </c>
      <c r="I46" s="67"/>
      <c r="J46" s="67">
        <f>ROUND(VLOOKUP(A46,'Contribution Allocation_Report'!$A$9:$D$314,4,FALSE)*'OPEB Amounts_Report'!$J$326,0)</f>
        <v>46635</v>
      </c>
      <c r="K46" s="67">
        <f>ROUND(VLOOKUP(A46,'Contribution Allocation_Report'!$A$9:$D$314,4,FALSE)*'OPEB Amounts_Report'!$K$326,0)</f>
        <v>283119</v>
      </c>
      <c r="L46" s="67">
        <f>INDEX('Change in Proportion Layers'!$AG$8:$AG$324,MATCH('OPEB Amounts_Report'!A46,'Change in Proportion Layers'!$A$8:$A$324,0))</f>
        <v>41164</v>
      </c>
      <c r="M46" s="67">
        <f t="shared" si="0"/>
        <v>370918</v>
      </c>
      <c r="N46" s="68"/>
      <c r="O46" s="68">
        <f>ROUND(VLOOKUP(A46,'Contribution Allocation_Report'!$A$9:$D$314,4,FALSE)*'OPEB Amounts_Report'!$O$326,0)</f>
        <v>-90881</v>
      </c>
      <c r="P46" s="68">
        <f>INDEX('Change in Proportion Layers'!$AD$8:$AD$324,MATCH('OPEB Amounts_Report'!A46,'Change in Proportion Layers'!$A$8:$A$324,0))</f>
        <v>20180</v>
      </c>
      <c r="Q46" s="68">
        <f t="shared" si="2"/>
        <v>-70701</v>
      </c>
    </row>
    <row r="47" spans="1:17" ht="12" customHeight="1">
      <c r="A47" s="227">
        <v>17126</v>
      </c>
      <c r="B47" s="228" t="s">
        <v>36</v>
      </c>
      <c r="C47" s="84">
        <f>ROUND(VLOOKUP(A47,'Contribution Allocation_Report'!$A$9:$D$314,4,FALSE)*'OPEB Amounts_Report'!$C$326,0)</f>
        <v>1225081</v>
      </c>
      <c r="D47" s="84">
        <f>ROUND(VLOOKUP(A47,'Contribution Allocation_Report'!$A$9:$D$314,4,FALSE)*'OPEB Amounts_Report'!$D$326,0)</f>
        <v>13129</v>
      </c>
      <c r="E47" s="84">
        <f>ROUND(VLOOKUP(A47,'Contribution Allocation_Report'!$A$9:$D$314,4,FALSE)*'OPEB Amounts_Report'!$E$326,0)</f>
        <v>10951</v>
      </c>
      <c r="F47" s="84">
        <f>ROUND(VLOOKUP(A47,'Contribution Allocation_Report'!$A$9:$D$314,4,FALSE)*'OPEB Amounts_Report'!$F$326,0)</f>
        <v>229243</v>
      </c>
      <c r="G47" s="84">
        <f>INDEX('Change in Proportion Layers'!$AF$8:$AF$324,MATCH('OPEB Amounts_Report'!A47,'Change in Proportion Layers'!$A$8:$A$324,0))</f>
        <v>153374</v>
      </c>
      <c r="H47" s="84">
        <f t="shared" si="1"/>
        <v>406697</v>
      </c>
      <c r="I47" s="84"/>
      <c r="J47" s="84">
        <f>ROUND(VLOOKUP(A47,'Contribution Allocation_Report'!$A$9:$D$314,4,FALSE)*'OPEB Amounts_Report'!$J$326,0)</f>
        <v>127965</v>
      </c>
      <c r="K47" s="84">
        <f>ROUND(VLOOKUP(A47,'Contribution Allocation_Report'!$A$9:$D$314,4,FALSE)*'OPEB Amounts_Report'!$K$326,0)</f>
        <v>776869</v>
      </c>
      <c r="L47" s="251">
        <f>INDEX('Change in Proportion Layers'!$AG$8:$AG$324,MATCH('OPEB Amounts_Report'!A47,'Change in Proportion Layers'!$A$8:$A$324,0))</f>
        <v>176200</v>
      </c>
      <c r="M47" s="84">
        <f t="shared" si="0"/>
        <v>1081034</v>
      </c>
      <c r="N47" s="85"/>
      <c r="O47" s="85">
        <f>ROUND(VLOOKUP(A47,'Contribution Allocation_Report'!$A$9:$D$314,4,FALSE)*'OPEB Amounts_Report'!$O$326,0)</f>
        <v>-249373</v>
      </c>
      <c r="P47" s="85">
        <f>INDEX('Change in Proportion Layers'!$AD$8:$AD$324,MATCH('OPEB Amounts_Report'!A47,'Change in Proportion Layers'!$A$8:$A$324,0))</f>
        <v>-11619</v>
      </c>
      <c r="Q47" s="85">
        <f t="shared" si="2"/>
        <v>-260992</v>
      </c>
    </row>
    <row r="48" spans="1:17" ht="12" customHeight="1">
      <c r="A48" s="59">
        <v>3030</v>
      </c>
      <c r="B48" s="63" t="s">
        <v>37</v>
      </c>
      <c r="C48" s="67">
        <f>ROUND(VLOOKUP(A48,'Contribution Allocation_Report'!$A$9:$D$314,4,FALSE)*'OPEB Amounts_Report'!$C$326,0)</f>
        <v>3157296</v>
      </c>
      <c r="D48" s="67">
        <f>ROUND(VLOOKUP(A48,'Contribution Allocation_Report'!$A$9:$D$314,4,FALSE)*'OPEB Amounts_Report'!$D$326,0)</f>
        <v>33837</v>
      </c>
      <c r="E48" s="67">
        <f>ROUND(VLOOKUP(A48,'Contribution Allocation_Report'!$A$9:$D$314,4,FALSE)*'OPEB Amounts_Report'!$E$326,0)</f>
        <v>28223</v>
      </c>
      <c r="F48" s="67">
        <f>ROUND(VLOOKUP(A48,'Contribution Allocation_Report'!$A$9:$D$314,4,FALSE)*'OPEB Amounts_Report'!$F$326,0)</f>
        <v>590809</v>
      </c>
      <c r="G48" s="250">
        <f>INDEX('Change in Proportion Layers'!$AF$8:$AF$324,MATCH('OPEB Amounts_Report'!A48,'Change in Proportion Layers'!$A$8:$A$324,0))</f>
        <v>0</v>
      </c>
      <c r="H48" s="67">
        <f t="shared" si="1"/>
        <v>652869</v>
      </c>
      <c r="I48" s="67"/>
      <c r="J48" s="67">
        <f>ROUND(VLOOKUP(A48,'Contribution Allocation_Report'!$A$9:$D$314,4,FALSE)*'OPEB Amounts_Report'!$J$326,0)</f>
        <v>329793</v>
      </c>
      <c r="K48" s="67">
        <f>ROUND(VLOOKUP(A48,'Contribution Allocation_Report'!$A$9:$D$314,4,FALSE)*'OPEB Amounts_Report'!$K$326,0)</f>
        <v>2002158</v>
      </c>
      <c r="L48" s="250">
        <f>INDEX('Change in Proportion Layers'!$AG$8:$AG$324,MATCH('OPEB Amounts_Report'!A48,'Change in Proportion Layers'!$A$8:$A$324,0))</f>
        <v>1074191</v>
      </c>
      <c r="M48" s="67">
        <f t="shared" si="0"/>
        <v>3406142</v>
      </c>
      <c r="N48" s="68"/>
      <c r="O48" s="68">
        <f>ROUND(VLOOKUP(A48,'Contribution Allocation_Report'!$A$9:$D$314,4,FALSE)*'OPEB Amounts_Report'!$O$326,0)</f>
        <v>-642688</v>
      </c>
      <c r="P48" s="68">
        <f>INDEX('Change in Proportion Layers'!$AD$8:$AD$324,MATCH('OPEB Amounts_Report'!A48,'Change in Proportion Layers'!$A$8:$A$324,0))</f>
        <v>-427595</v>
      </c>
      <c r="Q48" s="68">
        <f t="shared" si="2"/>
        <v>-1070283</v>
      </c>
    </row>
    <row r="49" spans="1:17" ht="12" customHeight="1">
      <c r="A49" s="227">
        <v>2353</v>
      </c>
      <c r="B49" s="228" t="s">
        <v>38</v>
      </c>
      <c r="C49" s="84">
        <f>ROUND(VLOOKUP(A49,'Contribution Allocation_Report'!$A$9:$D$314,4,FALSE)*'OPEB Amounts_Report'!$C$326,0)</f>
        <v>1371441</v>
      </c>
      <c r="D49" s="84">
        <f>ROUND(VLOOKUP(A49,'Contribution Allocation_Report'!$A$9:$D$314,4,FALSE)*'OPEB Amounts_Report'!$D$326,0)</f>
        <v>14698</v>
      </c>
      <c r="E49" s="84">
        <f>ROUND(VLOOKUP(A49,'Contribution Allocation_Report'!$A$9:$D$314,4,FALSE)*'OPEB Amounts_Report'!$E$326,0)</f>
        <v>12259</v>
      </c>
      <c r="F49" s="84">
        <f>ROUND(VLOOKUP(A49,'Contribution Allocation_Report'!$A$9:$D$314,4,FALSE)*'OPEB Amounts_Report'!$F$326,0)</f>
        <v>256631</v>
      </c>
      <c r="G49" s="84">
        <f>INDEX('Change in Proportion Layers'!$AF$8:$AF$324,MATCH('OPEB Amounts_Report'!A49,'Change in Proportion Layers'!$A$8:$A$324,0))</f>
        <v>813540</v>
      </c>
      <c r="H49" s="84">
        <f t="shared" si="1"/>
        <v>1097128</v>
      </c>
      <c r="I49" s="84"/>
      <c r="J49" s="84">
        <f>ROUND(VLOOKUP(A49,'Contribution Allocation_Report'!$A$9:$D$314,4,FALSE)*'OPEB Amounts_Report'!$J$326,0)</f>
        <v>143253</v>
      </c>
      <c r="K49" s="84">
        <f>ROUND(VLOOKUP(A49,'Contribution Allocation_Report'!$A$9:$D$314,4,FALSE)*'OPEB Amounts_Report'!$K$326,0)</f>
        <v>869681</v>
      </c>
      <c r="L49" s="84">
        <f>INDEX('Change in Proportion Layers'!$AG$8:$AG$324,MATCH('OPEB Amounts_Report'!A49,'Change in Proportion Layers'!$A$8:$A$324,0))</f>
        <v>143726</v>
      </c>
      <c r="M49" s="84">
        <f t="shared" si="0"/>
        <v>1156660</v>
      </c>
      <c r="N49" s="85"/>
      <c r="O49" s="85">
        <f>ROUND(VLOOKUP(A49,'Contribution Allocation_Report'!$A$9:$D$314,4,FALSE)*'OPEB Amounts_Report'!$O$326,0)</f>
        <v>-279166</v>
      </c>
      <c r="P49" s="85">
        <f>INDEX('Change in Proportion Layers'!$AD$8:$AD$324,MATCH('OPEB Amounts_Report'!A49,'Change in Proportion Layers'!$A$8:$A$324,0))</f>
        <v>246391</v>
      </c>
      <c r="Q49" s="85">
        <f t="shared" si="2"/>
        <v>-32775</v>
      </c>
    </row>
    <row r="50" spans="1:17" ht="12" customHeight="1">
      <c r="A50" s="59">
        <v>3040</v>
      </c>
      <c r="B50" s="63" t="s">
        <v>39</v>
      </c>
      <c r="C50" s="67">
        <f>ROUND(VLOOKUP(A50,'Contribution Allocation_Report'!$A$9:$D$314,4,FALSE)*'OPEB Amounts_Report'!$C$326,0)</f>
        <v>1467995</v>
      </c>
      <c r="D50" s="67">
        <f>ROUND(VLOOKUP(A50,'Contribution Allocation_Report'!$A$9:$D$314,4,FALSE)*'OPEB Amounts_Report'!$D$326,0)</f>
        <v>15733</v>
      </c>
      <c r="E50" s="67">
        <f>ROUND(VLOOKUP(A50,'Contribution Allocation_Report'!$A$9:$D$314,4,FALSE)*'OPEB Amounts_Report'!$E$326,0)</f>
        <v>13122</v>
      </c>
      <c r="F50" s="67">
        <f>ROUND(VLOOKUP(A50,'Contribution Allocation_Report'!$A$9:$D$314,4,FALSE)*'OPEB Amounts_Report'!$F$326,0)</f>
        <v>274699</v>
      </c>
      <c r="G50" s="67">
        <f>INDEX('Change in Proportion Layers'!$AF$8:$AF$324,MATCH('OPEB Amounts_Report'!A50,'Change in Proportion Layers'!$A$8:$A$324,0))</f>
        <v>246498</v>
      </c>
      <c r="H50" s="67">
        <f t="shared" si="1"/>
        <v>550052</v>
      </c>
      <c r="I50" s="67"/>
      <c r="J50" s="67">
        <f>ROUND(VLOOKUP(A50,'Contribution Allocation_Report'!$A$9:$D$314,4,FALSE)*'OPEB Amounts_Report'!$J$326,0)</f>
        <v>153339</v>
      </c>
      <c r="K50" s="67">
        <f>ROUND(VLOOKUP(A50,'Contribution Allocation_Report'!$A$9:$D$314,4,FALSE)*'OPEB Amounts_Report'!$K$326,0)</f>
        <v>930910</v>
      </c>
      <c r="L50" s="67">
        <f>INDEX('Change in Proportion Layers'!$AG$8:$AG$324,MATCH('OPEB Amounts_Report'!A50,'Change in Proportion Layers'!$A$8:$A$324,0))</f>
        <v>115142</v>
      </c>
      <c r="M50" s="67">
        <f t="shared" si="0"/>
        <v>1199391</v>
      </c>
      <c r="N50" s="68"/>
      <c r="O50" s="68">
        <f>ROUND(VLOOKUP(A50,'Contribution Allocation_Report'!$A$9:$D$314,4,FALSE)*'OPEB Amounts_Report'!$O$326,0)</f>
        <v>-298820</v>
      </c>
      <c r="P50" s="68">
        <f>INDEX('Change in Proportion Layers'!$AD$8:$AD$324,MATCH('OPEB Amounts_Report'!A50,'Change in Proportion Layers'!$A$8:$A$324,0))</f>
        <v>-65077</v>
      </c>
      <c r="Q50" s="68">
        <f t="shared" si="2"/>
        <v>-363897</v>
      </c>
    </row>
    <row r="51" spans="1:17" ht="12" customHeight="1">
      <c r="A51" s="227">
        <v>2367</v>
      </c>
      <c r="B51" s="228" t="s">
        <v>40</v>
      </c>
      <c r="C51" s="84">
        <f>ROUND(VLOOKUP(A51,'Contribution Allocation_Report'!$A$9:$D$314,4,FALSE)*'OPEB Amounts_Report'!$C$326,0)</f>
        <v>1176860</v>
      </c>
      <c r="D51" s="84">
        <f>ROUND(VLOOKUP(A51,'Contribution Allocation_Report'!$A$9:$D$314,4,FALSE)*'OPEB Amounts_Report'!$D$326,0)</f>
        <v>12612</v>
      </c>
      <c r="E51" s="84">
        <f>ROUND(VLOOKUP(A51,'Contribution Allocation_Report'!$A$9:$D$314,4,FALSE)*'OPEB Amounts_Report'!$E$326,0)</f>
        <v>10520</v>
      </c>
      <c r="F51" s="84">
        <f>ROUND(VLOOKUP(A51,'Contribution Allocation_Report'!$A$9:$D$314,4,FALSE)*'OPEB Amounts_Report'!$F$326,0)</f>
        <v>220220</v>
      </c>
      <c r="G51" s="84">
        <f>INDEX('Change in Proportion Layers'!$AF$8:$AF$324,MATCH('OPEB Amounts_Report'!A51,'Change in Proportion Layers'!$A$8:$A$324,0))</f>
        <v>451343</v>
      </c>
      <c r="H51" s="84">
        <f t="shared" si="1"/>
        <v>694695</v>
      </c>
      <c r="I51" s="84"/>
      <c r="J51" s="84">
        <f>ROUND(VLOOKUP(A51,'Contribution Allocation_Report'!$A$9:$D$314,4,FALSE)*'OPEB Amounts_Report'!$J$326,0)</f>
        <v>122928</v>
      </c>
      <c r="K51" s="84">
        <f>ROUND(VLOOKUP(A51,'Contribution Allocation_Report'!$A$9:$D$314,4,FALSE)*'OPEB Amounts_Report'!$K$326,0)</f>
        <v>746290</v>
      </c>
      <c r="L51" s="84">
        <f>INDEX('Change in Proportion Layers'!$AG$8:$AG$324,MATCH('OPEB Amounts_Report'!A51,'Change in Proportion Layers'!$A$8:$A$324,0))</f>
        <v>8666</v>
      </c>
      <c r="M51" s="84">
        <f t="shared" si="0"/>
        <v>877884</v>
      </c>
      <c r="N51" s="85"/>
      <c r="O51" s="85">
        <f>ROUND(VLOOKUP(A51,'Contribution Allocation_Report'!$A$9:$D$314,4,FALSE)*'OPEB Amounts_Report'!$O$326,0)</f>
        <v>-239558</v>
      </c>
      <c r="P51" s="85">
        <f>INDEX('Change in Proportion Layers'!$AD$8:$AD$324,MATCH('OPEB Amounts_Report'!A51,'Change in Proportion Layers'!$A$8:$A$324,0))</f>
        <v>139883</v>
      </c>
      <c r="Q51" s="85">
        <f t="shared" si="2"/>
        <v>-99675</v>
      </c>
    </row>
    <row r="52" spans="1:17" ht="12" customHeight="1">
      <c r="A52" s="59">
        <v>9027</v>
      </c>
      <c r="B52" s="63" t="s">
        <v>41</v>
      </c>
      <c r="C52" s="67">
        <f>ROUND(VLOOKUP(A52,'Contribution Allocation_Report'!$A$9:$D$314,4,FALSE)*'OPEB Amounts_Report'!$C$326,0)</f>
        <v>1249591</v>
      </c>
      <c r="D52" s="67">
        <f>ROUND(VLOOKUP(A52,'Contribution Allocation_Report'!$A$9:$D$314,4,FALSE)*'OPEB Amounts_Report'!$D$326,0)</f>
        <v>13392</v>
      </c>
      <c r="E52" s="67">
        <f>ROUND(VLOOKUP(A52,'Contribution Allocation_Report'!$A$9:$D$314,4,FALSE)*'OPEB Amounts_Report'!$E$326,0)</f>
        <v>11170</v>
      </c>
      <c r="F52" s="67">
        <f>ROUND(VLOOKUP(A52,'Contribution Allocation_Report'!$A$9:$D$314,4,FALSE)*'OPEB Amounts_Report'!$F$326,0)</f>
        <v>233830</v>
      </c>
      <c r="G52" s="67">
        <f>INDEX('Change in Proportion Layers'!$AF$8:$AF$324,MATCH('OPEB Amounts_Report'!A52,'Change in Proportion Layers'!$A$8:$A$324,0))</f>
        <v>202033</v>
      </c>
      <c r="H52" s="67">
        <f t="shared" si="1"/>
        <v>460425</v>
      </c>
      <c r="I52" s="67"/>
      <c r="J52" s="67">
        <f>ROUND(VLOOKUP(A52,'Contribution Allocation_Report'!$A$9:$D$314,4,FALSE)*'OPEB Amounts_Report'!$J$326,0)</f>
        <v>130525</v>
      </c>
      <c r="K52" s="67">
        <f>ROUND(VLOOKUP(A52,'Contribution Allocation_Report'!$A$9:$D$314,4,FALSE)*'OPEB Amounts_Report'!$K$326,0)</f>
        <v>792412</v>
      </c>
      <c r="L52" s="67">
        <f>INDEX('Change in Proportion Layers'!$AG$8:$AG$324,MATCH('OPEB Amounts_Report'!A52,'Change in Proportion Layers'!$A$8:$A$324,0))</f>
        <v>202786</v>
      </c>
      <c r="M52" s="67">
        <f t="shared" si="0"/>
        <v>1125723</v>
      </c>
      <c r="N52" s="68"/>
      <c r="O52" s="68">
        <f>ROUND(VLOOKUP(A52,'Contribution Allocation_Report'!$A$9:$D$314,4,FALSE)*'OPEB Amounts_Report'!$O$326,0)</f>
        <v>-254363</v>
      </c>
      <c r="P52" s="68">
        <f>INDEX('Change in Proportion Layers'!$AD$8:$AD$324,MATCH('OPEB Amounts_Report'!A52,'Change in Proportion Layers'!$A$8:$A$324,0))</f>
        <v>15662</v>
      </c>
      <c r="Q52" s="68">
        <f t="shared" si="2"/>
        <v>-238701</v>
      </c>
    </row>
    <row r="53" spans="1:17" ht="12" customHeight="1">
      <c r="A53" s="227">
        <v>2010</v>
      </c>
      <c r="B53" s="228" t="s">
        <v>42</v>
      </c>
      <c r="C53" s="84">
        <f>ROUND(VLOOKUP(A53,'Contribution Allocation_Report'!$A$9:$D$314,4,FALSE)*'OPEB Amounts_Report'!$C$326,0)</f>
        <v>4675642</v>
      </c>
      <c r="D53" s="84">
        <f>ROUND(VLOOKUP(A53,'Contribution Allocation_Report'!$A$9:$D$314,4,FALSE)*'OPEB Amounts_Report'!$D$326,0)</f>
        <v>50109</v>
      </c>
      <c r="E53" s="84">
        <f>ROUND(VLOOKUP(A53,'Contribution Allocation_Report'!$A$9:$D$314,4,FALSE)*'OPEB Amounts_Report'!$E$326,0)</f>
        <v>41796</v>
      </c>
      <c r="F53" s="84">
        <f>ROUND(VLOOKUP(A53,'Contribution Allocation_Report'!$A$9:$D$314,4,FALSE)*'OPEB Amounts_Report'!$F$326,0)</f>
        <v>874930</v>
      </c>
      <c r="G53" s="84">
        <f>INDEX('Change in Proportion Layers'!$AF$8:$AF$324,MATCH('OPEB Amounts_Report'!A53,'Change in Proportion Layers'!$A$8:$A$324,0))</f>
        <v>361568</v>
      </c>
      <c r="H53" s="84">
        <f t="shared" si="1"/>
        <v>1328403</v>
      </c>
      <c r="I53" s="84"/>
      <c r="J53" s="84">
        <f>ROUND(VLOOKUP(A53,'Contribution Allocation_Report'!$A$9:$D$314,4,FALSE)*'OPEB Amounts_Report'!$J$326,0)</f>
        <v>488391</v>
      </c>
      <c r="K53" s="84">
        <f>ROUND(VLOOKUP(A53,'Contribution Allocation_Report'!$A$9:$D$314,4,FALSE)*'OPEB Amounts_Report'!$K$326,0)</f>
        <v>2964998</v>
      </c>
      <c r="L53" s="251">
        <f>INDEX('Change in Proportion Layers'!$AG$8:$AG$324,MATCH('OPEB Amounts_Report'!A53,'Change in Proportion Layers'!$A$8:$A$324,0))</f>
        <v>648983</v>
      </c>
      <c r="M53" s="84">
        <f t="shared" si="0"/>
        <v>4102372</v>
      </c>
      <c r="N53" s="85"/>
      <c r="O53" s="85">
        <f>ROUND(VLOOKUP(A53,'Contribution Allocation_Report'!$A$9:$D$314,4,FALSE)*'OPEB Amounts_Report'!$O$326,0)</f>
        <v>-951758</v>
      </c>
      <c r="P53" s="85">
        <f>INDEX('Change in Proportion Layers'!$AD$8:$AD$324,MATCH('OPEB Amounts_Report'!A53,'Change in Proportion Layers'!$A$8:$A$324,0))</f>
        <v>-216356</v>
      </c>
      <c r="Q53" s="85">
        <f t="shared" si="2"/>
        <v>-1168114</v>
      </c>
    </row>
    <row r="54" spans="1:17" ht="12" customHeight="1">
      <c r="A54" s="59">
        <v>2020</v>
      </c>
      <c r="B54" s="63" t="s">
        <v>43</v>
      </c>
      <c r="C54" s="67">
        <f>ROUND(VLOOKUP(A54,'Contribution Allocation_Report'!$A$9:$D$314,4,FALSE)*'OPEB Amounts_Report'!$C$326,0)</f>
        <v>116042765</v>
      </c>
      <c r="D54" s="67">
        <f>ROUND(VLOOKUP(A54,'Contribution Allocation_Report'!$A$9:$D$314,4,FALSE)*'OPEB Amounts_Report'!$D$326,0)</f>
        <v>1243635</v>
      </c>
      <c r="E54" s="67">
        <f>ROUND(VLOOKUP(A54,'Contribution Allocation_Report'!$A$9:$D$314,4,FALSE)*'OPEB Amounts_Report'!$E$326,0)</f>
        <v>1037310</v>
      </c>
      <c r="F54" s="67">
        <f>ROUND(VLOOKUP(A54,'Contribution Allocation_Report'!$A$9:$D$314,4,FALSE)*'OPEB Amounts_Report'!$F$326,0)</f>
        <v>21714508</v>
      </c>
      <c r="G54" s="67">
        <f>INDEX('Change in Proportion Layers'!$AF$8:$AF$324,MATCH('OPEB Amounts_Report'!A54,'Change in Proportion Layers'!$A$8:$A$324,0))</f>
        <v>928319</v>
      </c>
      <c r="H54" s="67">
        <f t="shared" si="1"/>
        <v>24923772</v>
      </c>
      <c r="I54" s="67"/>
      <c r="J54" s="67">
        <f>ROUND(VLOOKUP(A54,'Contribution Allocation_Report'!$A$9:$D$314,4,FALSE)*'OPEB Amounts_Report'!$J$326,0)</f>
        <v>12121175</v>
      </c>
      <c r="K54" s="67">
        <f>ROUND(VLOOKUP(A54,'Contribution Allocation_Report'!$A$9:$D$314,4,FALSE)*'OPEB Amounts_Report'!$K$326,0)</f>
        <v>73587006</v>
      </c>
      <c r="L54" s="250">
        <f>INDEX('Change in Proportion Layers'!$AG$8:$AG$324,MATCH('OPEB Amounts_Report'!A54,'Change in Proportion Layers'!$A$8:$A$324,0))</f>
        <v>11755536</v>
      </c>
      <c r="M54" s="67">
        <f t="shared" si="0"/>
        <v>97463717</v>
      </c>
      <c r="N54" s="68"/>
      <c r="O54" s="68">
        <f>ROUND(VLOOKUP(A54,'Contribution Allocation_Report'!$A$9:$D$314,4,FALSE)*'OPEB Amounts_Report'!$O$326,0)</f>
        <v>-23621275</v>
      </c>
      <c r="P54" s="68">
        <f>INDEX('Change in Proportion Layers'!$AD$8:$AD$324,MATCH('OPEB Amounts_Report'!A54,'Change in Proportion Layers'!$A$8:$A$324,0))</f>
        <v>-3652781</v>
      </c>
      <c r="Q54" s="68">
        <f t="shared" si="2"/>
        <v>-27274056</v>
      </c>
    </row>
    <row r="55" spans="1:17" ht="12" customHeight="1">
      <c r="A55" s="227">
        <v>2040</v>
      </c>
      <c r="B55" s="228" t="s">
        <v>44</v>
      </c>
      <c r="C55" s="84">
        <f>ROUND(VLOOKUP(A55,'Contribution Allocation_Report'!$A$9:$D$314,4,FALSE)*'OPEB Amounts_Report'!$C$326,0)</f>
        <v>1577821</v>
      </c>
      <c r="D55" s="84">
        <f>ROUND(VLOOKUP(A55,'Contribution Allocation_Report'!$A$9:$D$314,4,FALSE)*'OPEB Amounts_Report'!$D$326,0)</f>
        <v>16910</v>
      </c>
      <c r="E55" s="84">
        <f>ROUND(VLOOKUP(A55,'Contribution Allocation_Report'!$A$9:$D$314,4,FALSE)*'OPEB Amounts_Report'!$E$326,0)</f>
        <v>14104</v>
      </c>
      <c r="F55" s="84">
        <f>ROUND(VLOOKUP(A55,'Contribution Allocation_Report'!$A$9:$D$314,4,FALSE)*'OPEB Amounts_Report'!$F$326,0)</f>
        <v>295250</v>
      </c>
      <c r="G55" s="84">
        <f>INDEX('Change in Proportion Layers'!$AF$8:$AF$324,MATCH('OPEB Amounts_Report'!A55,'Change in Proportion Layers'!$A$8:$A$324,0))</f>
        <v>127178</v>
      </c>
      <c r="H55" s="84">
        <f t="shared" si="1"/>
        <v>453442</v>
      </c>
      <c r="I55" s="84"/>
      <c r="J55" s="84">
        <f>ROUND(VLOOKUP(A55,'Contribution Allocation_Report'!$A$9:$D$314,4,FALSE)*'OPEB Amounts_Report'!$J$326,0)</f>
        <v>164810</v>
      </c>
      <c r="K55" s="84">
        <f>ROUND(VLOOKUP(A55,'Contribution Allocation_Report'!$A$9:$D$314,4,FALSE)*'OPEB Amounts_Report'!$K$326,0)</f>
        <v>1000555</v>
      </c>
      <c r="L55" s="251">
        <f>INDEX('Change in Proportion Layers'!$AG$8:$AG$324,MATCH('OPEB Amounts_Report'!A55,'Change in Proportion Layers'!$A$8:$A$324,0))</f>
        <v>222188</v>
      </c>
      <c r="M55" s="84">
        <f t="shared" si="0"/>
        <v>1387553</v>
      </c>
      <c r="N55" s="85"/>
      <c r="O55" s="85">
        <f>ROUND(VLOOKUP(A55,'Contribution Allocation_Report'!$A$9:$D$314,4,FALSE)*'OPEB Amounts_Report'!$O$326,0)</f>
        <v>-321176</v>
      </c>
      <c r="P55" s="85">
        <f>INDEX('Change in Proportion Layers'!$AD$8:$AD$324,MATCH('OPEB Amounts_Report'!A55,'Change in Proportion Layers'!$A$8:$A$324,0))</f>
        <v>-34471</v>
      </c>
      <c r="Q55" s="85">
        <f t="shared" si="2"/>
        <v>-355647</v>
      </c>
    </row>
    <row r="56" spans="1:17" ht="12" customHeight="1">
      <c r="A56" s="59">
        <v>2060</v>
      </c>
      <c r="B56" s="63" t="s">
        <v>45</v>
      </c>
      <c r="C56" s="67">
        <f>ROUND(VLOOKUP(A56,'Contribution Allocation_Report'!$A$9:$D$314,4,FALSE)*'OPEB Amounts_Report'!$C$326,0)</f>
        <v>2277401</v>
      </c>
      <c r="D56" s="67">
        <f>ROUND(VLOOKUP(A56,'Contribution Allocation_Report'!$A$9:$D$314,4,FALSE)*'OPEB Amounts_Report'!$D$326,0)</f>
        <v>24407</v>
      </c>
      <c r="E56" s="67">
        <f>ROUND(VLOOKUP(A56,'Contribution Allocation_Report'!$A$9:$D$314,4,FALSE)*'OPEB Amounts_Report'!$E$326,0)</f>
        <v>20358</v>
      </c>
      <c r="F56" s="67">
        <f>ROUND(VLOOKUP(A56,'Contribution Allocation_Report'!$A$9:$D$314,4,FALSE)*'OPEB Amounts_Report'!$F$326,0)</f>
        <v>426159</v>
      </c>
      <c r="G56" s="67">
        <f>INDEX('Change in Proportion Layers'!$AF$8:$AF$324,MATCH('OPEB Amounts_Report'!A56,'Change in Proportion Layers'!$A$8:$A$324,0))</f>
        <v>1183581</v>
      </c>
      <c r="H56" s="67">
        <f t="shared" si="1"/>
        <v>1654505</v>
      </c>
      <c r="I56" s="67"/>
      <c r="J56" s="67">
        <f>ROUND(VLOOKUP(A56,'Contribution Allocation_Report'!$A$9:$D$314,4,FALSE)*'OPEB Amounts_Report'!$J$326,0)</f>
        <v>237885</v>
      </c>
      <c r="K56" s="67">
        <f>ROUND(VLOOKUP(A56,'Contribution Allocation_Report'!$A$9:$D$314,4,FALSE)*'OPEB Amounts_Report'!$K$326,0)</f>
        <v>1444184</v>
      </c>
      <c r="L56" s="250">
        <f>INDEX('Change in Proportion Layers'!$AG$8:$AG$324,MATCH('OPEB Amounts_Report'!A56,'Change in Proportion Layers'!$A$8:$A$324,0))</f>
        <v>100857</v>
      </c>
      <c r="M56" s="67">
        <f t="shared" si="0"/>
        <v>1782926</v>
      </c>
      <c r="N56" s="68"/>
      <c r="O56" s="68">
        <f>ROUND(VLOOKUP(A56,'Contribution Allocation_Report'!$A$9:$D$314,4,FALSE)*'OPEB Amounts_Report'!$O$326,0)</f>
        <v>-463580</v>
      </c>
      <c r="P56" s="68">
        <f>INDEX('Change in Proportion Layers'!$AD$8:$AD$324,MATCH('OPEB Amounts_Report'!A56,'Change in Proportion Layers'!$A$8:$A$324,0))</f>
        <v>272599</v>
      </c>
      <c r="Q56" s="68">
        <f t="shared" si="2"/>
        <v>-190981</v>
      </c>
    </row>
    <row r="57" spans="1:17" ht="12" customHeight="1">
      <c r="A57" s="227">
        <v>2090</v>
      </c>
      <c r="B57" s="228" t="s">
        <v>46</v>
      </c>
      <c r="C57" s="84">
        <f>ROUND(VLOOKUP(A57,'Contribution Allocation_Report'!$A$9:$D$314,4,FALSE)*'OPEB Amounts_Report'!$C$326,0)</f>
        <v>1348024</v>
      </c>
      <c r="D57" s="84">
        <f>ROUND(VLOOKUP(A57,'Contribution Allocation_Report'!$A$9:$D$314,4,FALSE)*'OPEB Amounts_Report'!$D$326,0)</f>
        <v>14447</v>
      </c>
      <c r="E57" s="84">
        <f>ROUND(VLOOKUP(A57,'Contribution Allocation_Report'!$A$9:$D$314,4,FALSE)*'OPEB Amounts_Report'!$E$326,0)</f>
        <v>12050</v>
      </c>
      <c r="F57" s="84">
        <f>ROUND(VLOOKUP(A57,'Contribution Allocation_Report'!$A$9:$D$314,4,FALSE)*'OPEB Amounts_Report'!$F$326,0)</f>
        <v>252249</v>
      </c>
      <c r="G57" s="84">
        <f>INDEX('Change in Proportion Layers'!$AF$8:$AF$324,MATCH('OPEB Amounts_Report'!A57,'Change in Proportion Layers'!$A$8:$A$324,0))</f>
        <v>96148</v>
      </c>
      <c r="H57" s="84">
        <f t="shared" si="1"/>
        <v>374894</v>
      </c>
      <c r="I57" s="84"/>
      <c r="J57" s="84">
        <f>ROUND(VLOOKUP(A57,'Contribution Allocation_Report'!$A$9:$D$314,4,FALSE)*'OPEB Amounts_Report'!$J$326,0)</f>
        <v>140807</v>
      </c>
      <c r="K57" s="84">
        <f>ROUND(VLOOKUP(A57,'Contribution Allocation_Report'!$A$9:$D$314,4,FALSE)*'OPEB Amounts_Report'!$K$326,0)</f>
        <v>854832</v>
      </c>
      <c r="L57" s="251">
        <f>INDEX('Change in Proportion Layers'!$AG$8:$AG$324,MATCH('OPEB Amounts_Report'!A57,'Change in Proportion Layers'!$A$8:$A$324,0))</f>
        <v>119013</v>
      </c>
      <c r="M57" s="84">
        <f t="shared" si="0"/>
        <v>1114652</v>
      </c>
      <c r="N57" s="85"/>
      <c r="O57" s="85">
        <f>ROUND(VLOOKUP(A57,'Contribution Allocation_Report'!$A$9:$D$314,4,FALSE)*'OPEB Amounts_Report'!$O$326,0)</f>
        <v>-274399</v>
      </c>
      <c r="P57" s="85">
        <f>INDEX('Change in Proportion Layers'!$AD$8:$AD$324,MATCH('OPEB Amounts_Report'!A57,'Change in Proportion Layers'!$A$8:$A$324,0))</f>
        <v>-81795</v>
      </c>
      <c r="Q57" s="85">
        <f t="shared" si="2"/>
        <v>-356194</v>
      </c>
    </row>
    <row r="58" spans="1:17" ht="12" customHeight="1">
      <c r="A58" s="59">
        <v>2110</v>
      </c>
      <c r="B58" s="60" t="s">
        <v>47</v>
      </c>
      <c r="C58" s="154">
        <f>ROUND(VLOOKUP(A58,'Contribution Allocation_Report'!$A$9:$D$314,4,FALSE)*'OPEB Amounts_Report'!$C$326,0)</f>
        <v>9273508</v>
      </c>
      <c r="D58" s="154">
        <f>ROUND(VLOOKUP(A58,'Contribution Allocation_Report'!$A$9:$D$314,4,FALSE)*'OPEB Amounts_Report'!$D$326,0)</f>
        <v>99385</v>
      </c>
      <c r="E58" s="154">
        <f>ROUND(VLOOKUP(A58,'Contribution Allocation_Report'!$A$9:$D$314,4,FALSE)*'OPEB Amounts_Report'!$E$326,0)</f>
        <v>82896</v>
      </c>
      <c r="F58" s="154">
        <f>ROUND(VLOOKUP(A58,'Contribution Allocation_Report'!$A$9:$D$314,4,FALSE)*'OPEB Amounts_Report'!$F$326,0)</f>
        <v>1735306</v>
      </c>
      <c r="G58" s="154">
        <f>INDEX('Change in Proportion Layers'!$AF$8:$AF$324,MATCH('OPEB Amounts_Report'!A58,'Change in Proportion Layers'!$A$8:$A$324,0))</f>
        <v>0</v>
      </c>
      <c r="H58" s="154">
        <f t="shared" si="1"/>
        <v>1917587</v>
      </c>
      <c r="I58" s="154"/>
      <c r="J58" s="154">
        <f>ROUND(VLOOKUP(A58,'Contribution Allocation_Report'!$A$9:$D$314,4,FALSE)*'OPEB Amounts_Report'!$J$326,0)</f>
        <v>968659</v>
      </c>
      <c r="K58" s="154">
        <f>ROUND(VLOOKUP(A58,'Contribution Allocation_Report'!$A$9:$D$314,4,FALSE)*'OPEB Amounts_Report'!$K$326,0)</f>
        <v>5880674</v>
      </c>
      <c r="L58" s="156">
        <f>INDEX('Change in Proportion Layers'!$AG$8:$AG$324,MATCH('OPEB Amounts_Report'!A58,'Change in Proportion Layers'!$A$8:$A$324,0))</f>
        <v>2754746</v>
      </c>
      <c r="M58" s="154">
        <f t="shared" si="0"/>
        <v>9604079</v>
      </c>
      <c r="N58" s="155"/>
      <c r="O58" s="155">
        <f>ROUND(VLOOKUP(A58,'Contribution Allocation_Report'!$A$9:$D$314,4,FALSE)*'OPEB Amounts_Report'!$O$326,0)</f>
        <v>-1887684</v>
      </c>
      <c r="P58" s="155">
        <f>INDEX('Change in Proportion Layers'!$AD$8:$AD$324,MATCH('OPEB Amounts_Report'!A58,'Change in Proportion Layers'!$A$8:$A$324,0))</f>
        <v>-762992</v>
      </c>
      <c r="Q58" s="155">
        <f t="shared" si="2"/>
        <v>-2650676</v>
      </c>
    </row>
    <row r="59" spans="1:17" ht="12" customHeight="1">
      <c r="A59" s="227">
        <v>2180</v>
      </c>
      <c r="B59" s="228" t="s">
        <v>48</v>
      </c>
      <c r="C59" s="84">
        <f>ROUND(VLOOKUP(A59,'Contribution Allocation_Report'!$A$9:$D$314,4,FALSE)*'OPEB Amounts_Report'!$C$326,0)</f>
        <v>4631457</v>
      </c>
      <c r="D59" s="84">
        <f>ROUND(VLOOKUP(A59,'Contribution Allocation_Report'!$A$9:$D$314,4,FALSE)*'OPEB Amounts_Report'!$D$326,0)</f>
        <v>49636</v>
      </c>
      <c r="E59" s="84">
        <f>ROUND(VLOOKUP(A59,'Contribution Allocation_Report'!$A$9:$D$314,4,FALSE)*'OPEB Amounts_Report'!$E$326,0)</f>
        <v>41401</v>
      </c>
      <c r="F59" s="84">
        <f>ROUND(VLOOKUP(A59,'Contribution Allocation_Report'!$A$9:$D$314,4,FALSE)*'OPEB Amounts_Report'!$F$326,0)</f>
        <v>866662</v>
      </c>
      <c r="G59" s="84">
        <f>INDEX('Change in Proportion Layers'!$AF$8:$AF$324,MATCH('OPEB Amounts_Report'!A59,'Change in Proportion Layers'!$A$8:$A$324,0))</f>
        <v>63021</v>
      </c>
      <c r="H59" s="84">
        <f t="shared" si="1"/>
        <v>1020720</v>
      </c>
      <c r="I59" s="84"/>
      <c r="J59" s="84">
        <f>ROUND(VLOOKUP(A59,'Contribution Allocation_Report'!$A$9:$D$314,4,FALSE)*'OPEB Amounts_Report'!$J$326,0)</f>
        <v>483776</v>
      </c>
      <c r="K59" s="84">
        <f>ROUND(VLOOKUP(A59,'Contribution Allocation_Report'!$A$9:$D$314,4,FALSE)*'OPEB Amounts_Report'!$K$326,0)</f>
        <v>2936978</v>
      </c>
      <c r="L59" s="84">
        <f>INDEX('Change in Proportion Layers'!$AG$8:$AG$324,MATCH('OPEB Amounts_Report'!A59,'Change in Proportion Layers'!$A$8:$A$324,0))</f>
        <v>903051</v>
      </c>
      <c r="M59" s="84">
        <f t="shared" si="0"/>
        <v>4323805</v>
      </c>
      <c r="N59" s="85"/>
      <c r="O59" s="85">
        <f>ROUND(VLOOKUP(A59,'Contribution Allocation_Report'!$A$9:$D$314,4,FALSE)*'OPEB Amounts_Report'!$O$326,0)</f>
        <v>-942764</v>
      </c>
      <c r="P59" s="85">
        <f>INDEX('Change in Proportion Layers'!$AD$8:$AD$324,MATCH('OPEB Amounts_Report'!A59,'Change in Proportion Layers'!$A$8:$A$324,0))</f>
        <v>-367439</v>
      </c>
      <c r="Q59" s="85">
        <f t="shared" si="2"/>
        <v>-1310203</v>
      </c>
    </row>
    <row r="60" spans="1:17" ht="12" customHeight="1">
      <c r="A60" s="59">
        <v>2210</v>
      </c>
      <c r="B60" s="63" t="s">
        <v>49</v>
      </c>
      <c r="C60" s="67">
        <f>ROUND(VLOOKUP(A60,'Contribution Allocation_Report'!$A$9:$D$314,4,FALSE)*'OPEB Amounts_Report'!$C$326,0)</f>
        <v>2090009</v>
      </c>
      <c r="D60" s="67">
        <f>ROUND(VLOOKUP(A60,'Contribution Allocation_Report'!$A$9:$D$314,4,FALSE)*'OPEB Amounts_Report'!$D$326,0)</f>
        <v>22399</v>
      </c>
      <c r="E60" s="67">
        <f>ROUND(VLOOKUP(A60,'Contribution Allocation_Report'!$A$9:$D$314,4,FALSE)*'OPEB Amounts_Report'!$E$326,0)</f>
        <v>18683</v>
      </c>
      <c r="F60" s="67">
        <f>ROUND(VLOOKUP(A60,'Contribution Allocation_Report'!$A$9:$D$314,4,FALSE)*'OPEB Amounts_Report'!$F$326,0)</f>
        <v>391093</v>
      </c>
      <c r="G60" s="67">
        <f>INDEX('Change in Proportion Layers'!$AF$8:$AF$324,MATCH('OPEB Amounts_Report'!A60,'Change in Proportion Layers'!$A$8:$A$324,0))</f>
        <v>150526</v>
      </c>
      <c r="H60" s="67">
        <f t="shared" si="1"/>
        <v>582701</v>
      </c>
      <c r="I60" s="67"/>
      <c r="J60" s="67">
        <f>ROUND(VLOOKUP(A60,'Contribution Allocation_Report'!$A$9:$D$314,4,FALSE)*'OPEB Amounts_Report'!$J$326,0)</f>
        <v>218311</v>
      </c>
      <c r="K60" s="67">
        <f>ROUND(VLOOKUP(A60,'Contribution Allocation_Report'!$A$9:$D$314,4,FALSE)*'OPEB Amounts_Report'!$K$326,0)</f>
        <v>1325352</v>
      </c>
      <c r="L60" s="67">
        <f>INDEX('Change in Proportion Layers'!$AG$8:$AG$324,MATCH('OPEB Amounts_Report'!A60,'Change in Proportion Layers'!$A$8:$A$324,0))</f>
        <v>659846</v>
      </c>
      <c r="M60" s="67">
        <f t="shared" si="0"/>
        <v>2203509</v>
      </c>
      <c r="N60" s="68"/>
      <c r="O60" s="68">
        <f>ROUND(VLOOKUP(A60,'Contribution Allocation_Report'!$A$9:$D$314,4,FALSE)*'OPEB Amounts_Report'!$O$326,0)</f>
        <v>-425435</v>
      </c>
      <c r="P60" s="68">
        <f>INDEX('Change in Proportion Layers'!$AD$8:$AD$324,MATCH('OPEB Amounts_Report'!A60,'Change in Proportion Layers'!$A$8:$A$324,0))</f>
        <v>-237900</v>
      </c>
      <c r="Q60" s="68">
        <f t="shared" si="2"/>
        <v>-663335</v>
      </c>
    </row>
    <row r="61" spans="1:17" ht="12" customHeight="1">
      <c r="A61" s="227">
        <v>2290</v>
      </c>
      <c r="B61" s="228" t="s">
        <v>50</v>
      </c>
      <c r="C61" s="84">
        <f>ROUND(VLOOKUP(A61,'Contribution Allocation_Report'!$A$9:$D$314,4,FALSE)*'OPEB Amounts_Report'!$C$326,0)</f>
        <v>2250074</v>
      </c>
      <c r="D61" s="84">
        <f>ROUND(VLOOKUP(A61,'Contribution Allocation_Report'!$A$9:$D$314,4,FALSE)*'OPEB Amounts_Report'!$D$326,0)</f>
        <v>24114</v>
      </c>
      <c r="E61" s="84">
        <f>ROUND(VLOOKUP(A61,'Contribution Allocation_Report'!$A$9:$D$314,4,FALSE)*'OPEB Amounts_Report'!$E$326,0)</f>
        <v>20113</v>
      </c>
      <c r="F61" s="84">
        <f>ROUND(VLOOKUP(A61,'Contribution Allocation_Report'!$A$9:$D$314,4,FALSE)*'OPEB Amounts_Report'!$F$326,0)</f>
        <v>421045</v>
      </c>
      <c r="G61" s="84">
        <f>INDEX('Change in Proportion Layers'!$AF$8:$AF$324,MATCH('OPEB Amounts_Report'!A61,'Change in Proportion Layers'!$A$8:$A$324,0))</f>
        <v>63341</v>
      </c>
      <c r="H61" s="84">
        <f t="shared" si="1"/>
        <v>528613</v>
      </c>
      <c r="I61" s="84"/>
      <c r="J61" s="84">
        <f>ROUND(VLOOKUP(A61,'Contribution Allocation_Report'!$A$9:$D$314,4,FALSE)*'OPEB Amounts_Report'!$J$326,0)</f>
        <v>235030</v>
      </c>
      <c r="K61" s="84">
        <f>ROUND(VLOOKUP(A61,'Contribution Allocation_Report'!$A$9:$D$314,4,FALSE)*'OPEB Amounts_Report'!$K$326,0)</f>
        <v>1426855</v>
      </c>
      <c r="L61" s="84">
        <f>INDEX('Change in Proportion Layers'!$AG$8:$AG$324,MATCH('OPEB Amounts_Report'!A61,'Change in Proportion Layers'!$A$8:$A$324,0))</f>
        <v>215561</v>
      </c>
      <c r="M61" s="84">
        <f t="shared" si="0"/>
        <v>1877446</v>
      </c>
      <c r="N61" s="85"/>
      <c r="O61" s="85">
        <f>ROUND(VLOOKUP(A61,'Contribution Allocation_Report'!$A$9:$D$314,4,FALSE)*'OPEB Amounts_Report'!$O$326,0)</f>
        <v>-458018</v>
      </c>
      <c r="P61" s="85">
        <f>INDEX('Change in Proportion Layers'!$AD$8:$AD$324,MATCH('OPEB Amounts_Report'!A61,'Change in Proportion Layers'!$A$8:$A$324,0))</f>
        <v>-75545</v>
      </c>
      <c r="Q61" s="85">
        <f t="shared" si="2"/>
        <v>-533563</v>
      </c>
    </row>
    <row r="62" spans="1:17" ht="12" customHeight="1">
      <c r="A62" s="59">
        <v>2310</v>
      </c>
      <c r="B62" s="63" t="s">
        <v>51</v>
      </c>
      <c r="C62" s="67">
        <f>ROUND(VLOOKUP(A62,'Contribution Allocation_Report'!$A$9:$D$314,4,FALSE)*'OPEB Amounts_Report'!$C$326,0)</f>
        <v>16286727</v>
      </c>
      <c r="D62" s="67">
        <f>ROUND(VLOOKUP(A62,'Contribution Allocation_Report'!$A$9:$D$314,4,FALSE)*'OPEB Amounts_Report'!$D$326,0)</f>
        <v>174546</v>
      </c>
      <c r="E62" s="67">
        <f>ROUND(VLOOKUP(A62,'Contribution Allocation_Report'!$A$9:$D$314,4,FALSE)*'OPEB Amounts_Report'!$E$326,0)</f>
        <v>145588</v>
      </c>
      <c r="F62" s="67">
        <f>ROUND(VLOOKUP(A62,'Contribution Allocation_Report'!$A$9:$D$314,4,FALSE)*'OPEB Amounts_Report'!$F$326,0)</f>
        <v>3047655</v>
      </c>
      <c r="G62" s="67">
        <f>INDEX('Change in Proportion Layers'!$AF$8:$AF$324,MATCH('OPEB Amounts_Report'!A62,'Change in Proportion Layers'!$A$8:$A$324,0))</f>
        <v>1131092</v>
      </c>
      <c r="H62" s="67">
        <f t="shared" si="1"/>
        <v>4498881</v>
      </c>
      <c r="I62" s="67"/>
      <c r="J62" s="67">
        <f>ROUND(VLOOKUP(A62,'Contribution Allocation_Report'!$A$9:$D$314,4,FALSE)*'OPEB Amounts_Report'!$J$326,0)</f>
        <v>1701220</v>
      </c>
      <c r="K62" s="67">
        <f>ROUND(VLOOKUP(A62,'Contribution Allocation_Report'!$A$9:$D$314,4,FALSE)*'OPEB Amounts_Report'!$K$326,0)</f>
        <v>10328015</v>
      </c>
      <c r="L62" s="67">
        <f>INDEX('Change in Proportion Layers'!$AG$8:$AG$324,MATCH('OPEB Amounts_Report'!A62,'Change in Proportion Layers'!$A$8:$A$324,0))</f>
        <v>3214848</v>
      </c>
      <c r="M62" s="67">
        <f t="shared" si="0"/>
        <v>15244083</v>
      </c>
      <c r="N62" s="68"/>
      <c r="O62" s="68">
        <f>ROUND(VLOOKUP(A62,'Contribution Allocation_Report'!$A$9:$D$314,4,FALSE)*'OPEB Amounts_Report'!$O$326,0)</f>
        <v>-3315271</v>
      </c>
      <c r="P62" s="68">
        <f>INDEX('Change in Proportion Layers'!$AD$8:$AD$324,MATCH('OPEB Amounts_Report'!A62,'Change in Proportion Layers'!$A$8:$A$324,0))</f>
        <v>-980760</v>
      </c>
      <c r="Q62" s="68">
        <f t="shared" si="2"/>
        <v>-4296031</v>
      </c>
    </row>
    <row r="63" spans="1:17" ht="12" customHeight="1">
      <c r="A63" s="227">
        <v>2330</v>
      </c>
      <c r="B63" s="228" t="s">
        <v>52</v>
      </c>
      <c r="C63" s="84">
        <f>ROUND(VLOOKUP(A63,'Contribution Allocation_Report'!$A$9:$D$314,4,FALSE)*'OPEB Amounts_Report'!$C$326,0)</f>
        <v>5147709</v>
      </c>
      <c r="D63" s="84">
        <f>ROUND(VLOOKUP(A63,'Contribution Allocation_Report'!$A$9:$D$314,4,FALSE)*'OPEB Amounts_Report'!$D$326,0)</f>
        <v>55168</v>
      </c>
      <c r="E63" s="84">
        <f>ROUND(VLOOKUP(A63,'Contribution Allocation_Report'!$A$9:$D$314,4,FALSE)*'OPEB Amounts_Report'!$E$326,0)</f>
        <v>46016</v>
      </c>
      <c r="F63" s="84">
        <f>ROUND(VLOOKUP(A63,'Contribution Allocation_Report'!$A$9:$D$314,4,FALSE)*'OPEB Amounts_Report'!$F$326,0)</f>
        <v>963265</v>
      </c>
      <c r="G63" s="84">
        <f>INDEX('Change in Proportion Layers'!$AF$8:$AF$324,MATCH('OPEB Amounts_Report'!A63,'Change in Proportion Layers'!$A$8:$A$324,0))</f>
        <v>571252</v>
      </c>
      <c r="H63" s="84">
        <f t="shared" si="1"/>
        <v>1635701</v>
      </c>
      <c r="I63" s="84"/>
      <c r="J63" s="84">
        <f>ROUND(VLOOKUP(A63,'Contribution Allocation_Report'!$A$9:$D$314,4,FALSE)*'OPEB Amounts_Report'!$J$326,0)</f>
        <v>537701</v>
      </c>
      <c r="K63" s="84">
        <f>ROUND(VLOOKUP(A63,'Contribution Allocation_Report'!$A$9:$D$314,4,FALSE)*'OPEB Amounts_Report'!$K$326,0)</f>
        <v>3264353</v>
      </c>
      <c r="L63" s="251">
        <f>INDEX('Change in Proportion Layers'!$AG$8:$AG$324,MATCH('OPEB Amounts_Report'!A63,'Change in Proportion Layers'!$A$8:$A$324,0))</f>
        <v>1685674</v>
      </c>
      <c r="M63" s="84">
        <f t="shared" si="0"/>
        <v>5487728</v>
      </c>
      <c r="N63" s="85"/>
      <c r="O63" s="85">
        <f>ROUND(VLOOKUP(A63,'Contribution Allocation_Report'!$A$9:$D$314,4,FALSE)*'OPEB Amounts_Report'!$O$326,0)</f>
        <v>-1047850</v>
      </c>
      <c r="P63" s="85">
        <f>INDEX('Change in Proportion Layers'!$AD$8:$AD$324,MATCH('OPEB Amounts_Report'!A63,'Change in Proportion Layers'!$A$8:$A$324,0))</f>
        <v>-886703</v>
      </c>
      <c r="Q63" s="85">
        <f t="shared" si="2"/>
        <v>-1934553</v>
      </c>
    </row>
    <row r="64" spans="1:17" ht="12" customHeight="1">
      <c r="A64" s="59">
        <v>2380</v>
      </c>
      <c r="B64" s="63" t="s">
        <v>53</v>
      </c>
      <c r="C64" s="67">
        <f>ROUND(VLOOKUP(A64,'Contribution Allocation_Report'!$A$9:$D$314,4,FALSE)*'OPEB Amounts_Report'!$C$326,0)</f>
        <v>1016515</v>
      </c>
      <c r="D64" s="67">
        <f>ROUND(VLOOKUP(A64,'Contribution Allocation_Report'!$A$9:$D$314,4,FALSE)*'OPEB Amounts_Report'!$D$326,0)</f>
        <v>10894</v>
      </c>
      <c r="E64" s="67">
        <f>ROUND(VLOOKUP(A64,'Contribution Allocation_Report'!$A$9:$D$314,4,FALSE)*'OPEB Amounts_Report'!$E$326,0)</f>
        <v>9087</v>
      </c>
      <c r="F64" s="67">
        <f>ROUND(VLOOKUP(A64,'Contribution Allocation_Report'!$A$9:$D$314,4,FALSE)*'OPEB Amounts_Report'!$F$326,0)</f>
        <v>190215</v>
      </c>
      <c r="G64" s="250">
        <f>INDEX('Change in Proportion Layers'!$AF$8:$AF$324,MATCH('OPEB Amounts_Report'!A64,'Change in Proportion Layers'!$A$8:$A$324,0))</f>
        <v>434383</v>
      </c>
      <c r="H64" s="67">
        <f t="shared" si="1"/>
        <v>644579</v>
      </c>
      <c r="I64" s="67"/>
      <c r="J64" s="67">
        <f>ROUND(VLOOKUP(A64,'Contribution Allocation_Report'!$A$9:$D$314,4,FALSE)*'OPEB Amounts_Report'!$J$326,0)</f>
        <v>106179</v>
      </c>
      <c r="K64" s="67">
        <f>ROUND(VLOOKUP(A64,'Contribution Allocation_Report'!$A$9:$D$314,4,FALSE)*'OPEB Amounts_Report'!$K$326,0)</f>
        <v>644610</v>
      </c>
      <c r="L64" s="67">
        <f>INDEX('Change in Proportion Layers'!$AG$8:$AG$324,MATCH('OPEB Amounts_Report'!A64,'Change in Proportion Layers'!$A$8:$A$324,0))</f>
        <v>0</v>
      </c>
      <c r="M64" s="67">
        <f t="shared" si="0"/>
        <v>750789</v>
      </c>
      <c r="N64" s="68"/>
      <c r="O64" s="68">
        <f>ROUND(VLOOKUP(A64,'Contribution Allocation_Report'!$A$9:$D$314,4,FALSE)*'OPEB Amounts_Report'!$O$326,0)</f>
        <v>-206918</v>
      </c>
      <c r="P64" s="68">
        <f>INDEX('Change in Proportion Layers'!$AD$8:$AD$324,MATCH('OPEB Amounts_Report'!A64,'Change in Proportion Layers'!$A$8:$A$324,0))</f>
        <v>236622</v>
      </c>
      <c r="Q64" s="68">
        <f t="shared" si="2"/>
        <v>29704</v>
      </c>
    </row>
    <row r="65" spans="1:17" ht="12" customHeight="1">
      <c r="A65" s="227">
        <v>2400</v>
      </c>
      <c r="B65" s="228" t="s">
        <v>54</v>
      </c>
      <c r="C65" s="84">
        <f>ROUND(VLOOKUP(A65,'Contribution Allocation_Report'!$A$9:$D$314,4,FALSE)*'OPEB Amounts_Report'!$C$326,0)</f>
        <v>28624437</v>
      </c>
      <c r="D65" s="84">
        <f>ROUND(VLOOKUP(A65,'Contribution Allocation_Report'!$A$9:$D$314,4,FALSE)*'OPEB Amounts_Report'!$D$326,0)</f>
        <v>306769</v>
      </c>
      <c r="E65" s="84">
        <f>ROUND(VLOOKUP(A65,'Contribution Allocation_Report'!$A$9:$D$314,4,FALSE)*'OPEB Amounts_Report'!$E$326,0)</f>
        <v>255875</v>
      </c>
      <c r="F65" s="84">
        <f>ROUND(VLOOKUP(A65,'Contribution Allocation_Report'!$A$9:$D$314,4,FALSE)*'OPEB Amounts_Report'!$F$326,0)</f>
        <v>5356349</v>
      </c>
      <c r="G65" s="84">
        <f>INDEX('Change in Proportion Layers'!$AF$8:$AF$324,MATCH('OPEB Amounts_Report'!A65,'Change in Proportion Layers'!$A$8:$A$324,0))</f>
        <v>2696012</v>
      </c>
      <c r="H65" s="84">
        <f t="shared" si="1"/>
        <v>8615005</v>
      </c>
      <c r="I65" s="84"/>
      <c r="J65" s="84">
        <f>ROUND(VLOOKUP(A65,'Contribution Allocation_Report'!$A$9:$D$314,4,FALSE)*'OPEB Amounts_Report'!$J$326,0)</f>
        <v>2989948</v>
      </c>
      <c r="K65" s="84">
        <f>ROUND(VLOOKUP(A65,'Contribution Allocation_Report'!$A$9:$D$314,4,FALSE)*'OPEB Amounts_Report'!$K$326,0)</f>
        <v>18151814</v>
      </c>
      <c r="L65" s="251">
        <f>INDEX('Change in Proportion Layers'!$AG$8:$AG$324,MATCH('OPEB Amounts_Report'!A65,'Change in Proportion Layers'!$A$8:$A$324,0))</f>
        <v>3467817</v>
      </c>
      <c r="M65" s="84">
        <f t="shared" si="0"/>
        <v>24609579</v>
      </c>
      <c r="N65" s="85"/>
      <c r="O65" s="85">
        <f>ROUND(VLOOKUP(A65,'Contribution Allocation_Report'!$A$9:$D$314,4,FALSE)*'OPEB Amounts_Report'!$O$326,0)</f>
        <v>-5826694</v>
      </c>
      <c r="P65" s="85">
        <f>INDEX('Change in Proportion Layers'!$AD$8:$AD$324,MATCH('OPEB Amounts_Report'!A65,'Change in Proportion Layers'!$A$8:$A$324,0))</f>
        <v>-237753</v>
      </c>
      <c r="Q65" s="85">
        <f t="shared" si="2"/>
        <v>-6064447</v>
      </c>
    </row>
    <row r="66" spans="1:17" ht="12" customHeight="1">
      <c r="A66" s="59">
        <v>2410</v>
      </c>
      <c r="B66" s="63" t="s">
        <v>55</v>
      </c>
      <c r="C66" s="67">
        <f>ROUND(VLOOKUP(A66,'Contribution Allocation_Report'!$A$9:$D$314,4,FALSE)*'OPEB Amounts_Report'!$C$326,0)</f>
        <v>2848559</v>
      </c>
      <c r="D66" s="67">
        <f>ROUND(VLOOKUP(A66,'Contribution Allocation_Report'!$A$9:$D$314,4,FALSE)*'OPEB Amounts_Report'!$D$326,0)</f>
        <v>30528</v>
      </c>
      <c r="E66" s="67">
        <f>ROUND(VLOOKUP(A66,'Contribution Allocation_Report'!$A$9:$D$314,4,FALSE)*'OPEB Amounts_Report'!$E$326,0)</f>
        <v>25463</v>
      </c>
      <c r="F66" s="67">
        <f>ROUND(VLOOKUP(A66,'Contribution Allocation_Report'!$A$9:$D$314,4,FALSE)*'OPEB Amounts_Report'!$F$326,0)</f>
        <v>533037</v>
      </c>
      <c r="G66" s="250">
        <f>INDEX('Change in Proportion Layers'!$AF$8:$AF$324,MATCH('OPEB Amounts_Report'!A66,'Change in Proportion Layers'!$A$8:$A$324,0))</f>
        <v>172389</v>
      </c>
      <c r="H66" s="67">
        <f t="shared" si="1"/>
        <v>761417</v>
      </c>
      <c r="I66" s="67"/>
      <c r="J66" s="67">
        <f>ROUND(VLOOKUP(A66,'Contribution Allocation_Report'!$A$9:$D$314,4,FALSE)*'OPEB Amounts_Report'!$J$326,0)</f>
        <v>297544</v>
      </c>
      <c r="K66" s="67">
        <f>ROUND(VLOOKUP(A66,'Contribution Allocation_Report'!$A$9:$D$314,4,FALSE)*'OPEB Amounts_Report'!$K$326,0)</f>
        <v>1806376</v>
      </c>
      <c r="L66" s="67">
        <f>INDEX('Change in Proportion Layers'!$AG$8:$AG$324,MATCH('OPEB Amounts_Report'!A66,'Change in Proportion Layers'!$A$8:$A$324,0))</f>
        <v>938713</v>
      </c>
      <c r="M66" s="67">
        <f t="shared" si="0"/>
        <v>3042633</v>
      </c>
      <c r="N66" s="68"/>
      <c r="O66" s="68">
        <f>ROUND(VLOOKUP(A66,'Contribution Allocation_Report'!$A$9:$D$314,4,FALSE)*'OPEB Amounts_Report'!$O$326,0)</f>
        <v>-579843</v>
      </c>
      <c r="P66" s="68">
        <f>INDEX('Change in Proportion Layers'!$AD$8:$AD$324,MATCH('OPEB Amounts_Report'!A66,'Change in Proportion Layers'!$A$8:$A$324,0))</f>
        <v>-322063</v>
      </c>
      <c r="Q66" s="68">
        <f t="shared" si="2"/>
        <v>-901906</v>
      </c>
    </row>
    <row r="67" spans="1:17" ht="12" customHeight="1">
      <c r="A67" s="227">
        <v>2500</v>
      </c>
      <c r="B67" s="228" t="s">
        <v>56</v>
      </c>
      <c r="C67" s="84">
        <f>ROUND(VLOOKUP(A67,'Contribution Allocation_Report'!$A$9:$D$314,4,FALSE)*'OPEB Amounts_Report'!$C$326,0)</f>
        <v>523035</v>
      </c>
      <c r="D67" s="84">
        <f>ROUND(VLOOKUP(A67,'Contribution Allocation_Report'!$A$9:$D$314,4,FALSE)*'OPEB Amounts_Report'!$D$326,0)</f>
        <v>5605</v>
      </c>
      <c r="E67" s="84">
        <f>ROUND(VLOOKUP(A67,'Contribution Allocation_Report'!$A$9:$D$314,4,FALSE)*'OPEB Amounts_Report'!$E$326,0)</f>
        <v>4675</v>
      </c>
      <c r="F67" s="84">
        <f>ROUND(VLOOKUP(A67,'Contribution Allocation_Report'!$A$9:$D$314,4,FALSE)*'OPEB Amounts_Report'!$F$326,0)</f>
        <v>97873</v>
      </c>
      <c r="G67" s="84">
        <f>INDEX('Change in Proportion Layers'!$AF$8:$AF$324,MATCH('OPEB Amounts_Report'!A67,'Change in Proportion Layers'!$A$8:$A$324,0))</f>
        <v>138469</v>
      </c>
      <c r="H67" s="84">
        <f t="shared" si="1"/>
        <v>246622</v>
      </c>
      <c r="I67" s="84"/>
      <c r="J67" s="84">
        <f>ROUND(VLOOKUP(A67,'Contribution Allocation_Report'!$A$9:$D$314,4,FALSE)*'OPEB Amounts_Report'!$J$326,0)</f>
        <v>54633</v>
      </c>
      <c r="K67" s="84">
        <f>ROUND(VLOOKUP(A67,'Contribution Allocation_Report'!$A$9:$D$314,4,FALSE)*'OPEB Amounts_Report'!$K$326,0)</f>
        <v>331676</v>
      </c>
      <c r="L67" s="251">
        <f>INDEX('Change in Proportion Layers'!$AG$8:$AG$324,MATCH('OPEB Amounts_Report'!A67,'Change in Proportion Layers'!$A$8:$A$324,0))</f>
        <v>138630</v>
      </c>
      <c r="M67" s="84">
        <f t="shared" si="0"/>
        <v>524939</v>
      </c>
      <c r="N67" s="85"/>
      <c r="O67" s="85">
        <f>ROUND(VLOOKUP(A67,'Contribution Allocation_Report'!$A$9:$D$314,4,FALSE)*'OPEB Amounts_Report'!$O$326,0)</f>
        <v>-106467</v>
      </c>
      <c r="P67" s="85">
        <f>INDEX('Change in Proportion Layers'!$AD$8:$AD$324,MATCH('OPEB Amounts_Report'!A67,'Change in Proportion Layers'!$A$8:$A$324,0))</f>
        <v>-25661</v>
      </c>
      <c r="Q67" s="85">
        <f t="shared" si="2"/>
        <v>-132128</v>
      </c>
    </row>
    <row r="68" spans="1:17" ht="12" customHeight="1">
      <c r="A68" s="59">
        <v>2550</v>
      </c>
      <c r="B68" s="63" t="s">
        <v>57</v>
      </c>
      <c r="C68" s="67">
        <f>ROUND(VLOOKUP(A68,'Contribution Allocation_Report'!$A$9:$D$314,4,FALSE)*'OPEB Amounts_Report'!$C$326,0)</f>
        <v>1944743</v>
      </c>
      <c r="D68" s="67">
        <f>ROUND(VLOOKUP(A68,'Contribution Allocation_Report'!$A$9:$D$314,4,FALSE)*'OPEB Amounts_Report'!$D$326,0)</f>
        <v>20842</v>
      </c>
      <c r="E68" s="67">
        <f>ROUND(VLOOKUP(A68,'Contribution Allocation_Report'!$A$9:$D$314,4,FALSE)*'OPEB Amounts_Report'!$E$326,0)</f>
        <v>17384</v>
      </c>
      <c r="F68" s="67">
        <f>ROUND(VLOOKUP(A68,'Contribution Allocation_Report'!$A$9:$D$314,4,FALSE)*'OPEB Amounts_Report'!$F$326,0)</f>
        <v>363910</v>
      </c>
      <c r="G68" s="67">
        <f>INDEX('Change in Proportion Layers'!$AF$8:$AF$324,MATCH('OPEB Amounts_Report'!A68,'Change in Proportion Layers'!$A$8:$A$324,0))</f>
        <v>0</v>
      </c>
      <c r="H68" s="67">
        <f t="shared" si="1"/>
        <v>402136</v>
      </c>
      <c r="I68" s="67"/>
      <c r="J68" s="67">
        <f>ROUND(VLOOKUP(A68,'Contribution Allocation_Report'!$A$9:$D$314,4,FALSE)*'OPEB Amounts_Report'!$J$326,0)</f>
        <v>203137</v>
      </c>
      <c r="K68" s="67">
        <f>ROUND(VLOOKUP(A68,'Contribution Allocation_Report'!$A$9:$D$314,4,FALSE)*'OPEB Amounts_Report'!$K$326,0)</f>
        <v>1233233</v>
      </c>
      <c r="L68" s="67">
        <f>INDEX('Change in Proportion Layers'!$AG$8:$AG$324,MATCH('OPEB Amounts_Report'!A68,'Change in Proportion Layers'!$A$8:$A$324,0))</f>
        <v>313513</v>
      </c>
      <c r="M68" s="67">
        <f t="shared" si="0"/>
        <v>1749883</v>
      </c>
      <c r="N68" s="68"/>
      <c r="O68" s="68">
        <f>ROUND(VLOOKUP(A68,'Contribution Allocation_Report'!$A$9:$D$314,4,FALSE)*'OPEB Amounts_Report'!$O$326,0)</f>
        <v>-395865</v>
      </c>
      <c r="P68" s="68">
        <f>INDEX('Change in Proportion Layers'!$AD$8:$AD$324,MATCH('OPEB Amounts_Report'!A68,'Change in Proportion Layers'!$A$8:$A$324,0))</f>
        <v>-165248</v>
      </c>
      <c r="Q68" s="68">
        <f t="shared" si="2"/>
        <v>-561113</v>
      </c>
    </row>
    <row r="69" spans="1:17" ht="12" customHeight="1">
      <c r="A69" s="227">
        <v>2570</v>
      </c>
      <c r="B69" s="228" t="s">
        <v>58</v>
      </c>
      <c r="C69" s="84">
        <f>ROUND(VLOOKUP(A69,'Contribution Allocation_Report'!$A$9:$D$314,4,FALSE)*'OPEB Amounts_Report'!$C$326,0)</f>
        <v>1231037</v>
      </c>
      <c r="D69" s="84">
        <f>ROUND(VLOOKUP(A69,'Contribution Allocation_Report'!$A$9:$D$314,4,FALSE)*'OPEB Amounts_Report'!$D$326,0)</f>
        <v>13193</v>
      </c>
      <c r="E69" s="84">
        <f>ROUND(VLOOKUP(A69,'Contribution Allocation_Report'!$A$9:$D$314,4,FALSE)*'OPEB Amounts_Report'!$E$326,0)</f>
        <v>11004</v>
      </c>
      <c r="F69" s="84">
        <f>ROUND(VLOOKUP(A69,'Contribution Allocation_Report'!$A$9:$D$314,4,FALSE)*'OPEB Amounts_Report'!$F$326,0)</f>
        <v>230358</v>
      </c>
      <c r="G69" s="84">
        <f>INDEX('Change in Proportion Layers'!$AF$8:$AF$324,MATCH('OPEB Amounts_Report'!A69,'Change in Proportion Layers'!$A$8:$A$324,0))</f>
        <v>37375</v>
      </c>
      <c r="H69" s="84">
        <f t="shared" si="1"/>
        <v>291930</v>
      </c>
      <c r="I69" s="84"/>
      <c r="J69" s="84">
        <f>ROUND(VLOOKUP(A69,'Contribution Allocation_Report'!$A$9:$D$314,4,FALSE)*'OPEB Amounts_Report'!$J$326,0)</f>
        <v>128587</v>
      </c>
      <c r="K69" s="84">
        <f>ROUND(VLOOKUP(A69,'Contribution Allocation_Report'!$A$9:$D$314,4,FALSE)*'OPEB Amounts_Report'!$K$326,0)</f>
        <v>780646</v>
      </c>
      <c r="L69" s="84">
        <f>INDEX('Change in Proportion Layers'!$AG$8:$AG$324,MATCH('OPEB Amounts_Report'!A69,'Change in Proportion Layers'!$A$8:$A$324,0))</f>
        <v>240941</v>
      </c>
      <c r="M69" s="84">
        <f t="shared" si="0"/>
        <v>1150174</v>
      </c>
      <c r="N69" s="85"/>
      <c r="O69" s="85">
        <f>ROUND(VLOOKUP(A69,'Contribution Allocation_Report'!$A$9:$D$314,4,FALSE)*'OPEB Amounts_Report'!$O$326,0)</f>
        <v>-250586</v>
      </c>
      <c r="P69" s="85">
        <f>INDEX('Change in Proportion Layers'!$AD$8:$AD$324,MATCH('OPEB Amounts_Report'!A69,'Change in Proportion Layers'!$A$8:$A$324,0))</f>
        <v>-108537</v>
      </c>
      <c r="Q69" s="85">
        <f t="shared" si="2"/>
        <v>-359123</v>
      </c>
    </row>
    <row r="70" spans="1:17" ht="12" customHeight="1">
      <c r="A70" s="59">
        <v>2620</v>
      </c>
      <c r="B70" s="63" t="s">
        <v>59</v>
      </c>
      <c r="C70" s="67">
        <f>ROUND(VLOOKUP(A70,'Contribution Allocation_Report'!$A$9:$D$314,4,FALSE)*'OPEB Amounts_Report'!$C$326,0)</f>
        <v>12845387</v>
      </c>
      <c r="D70" s="67">
        <f>ROUND(VLOOKUP(A70,'Contribution Allocation_Report'!$A$9:$D$314,4,FALSE)*'OPEB Amounts_Report'!$D$326,0)</f>
        <v>137665</v>
      </c>
      <c r="E70" s="67">
        <f>ROUND(VLOOKUP(A70,'Contribution Allocation_Report'!$A$9:$D$314,4,FALSE)*'OPEB Amounts_Report'!$E$326,0)</f>
        <v>114825</v>
      </c>
      <c r="F70" s="67">
        <f>ROUND(VLOOKUP(A70,'Contribution Allocation_Report'!$A$9:$D$314,4,FALSE)*'OPEB Amounts_Report'!$F$326,0)</f>
        <v>2403694</v>
      </c>
      <c r="G70" s="67">
        <f>INDEX('Change in Proportion Layers'!$AF$8:$AF$324,MATCH('OPEB Amounts_Report'!A70,'Change in Proportion Layers'!$A$8:$A$324,0))</f>
        <v>1979030</v>
      </c>
      <c r="H70" s="67">
        <f t="shared" si="1"/>
        <v>4635214</v>
      </c>
      <c r="I70" s="67"/>
      <c r="J70" s="67">
        <f>ROUND(VLOOKUP(A70,'Contribution Allocation_Report'!$A$9:$D$314,4,FALSE)*'OPEB Amounts_Report'!$J$326,0)</f>
        <v>1341757</v>
      </c>
      <c r="K70" s="67">
        <f>ROUND(VLOOKUP(A70,'Contribution Allocation_Report'!$A$9:$D$314,4,FALSE)*'OPEB Amounts_Report'!$K$326,0)</f>
        <v>8145734</v>
      </c>
      <c r="L70" s="250">
        <f>INDEX('Change in Proportion Layers'!$AG$8:$AG$324,MATCH('OPEB Amounts_Report'!A70,'Change in Proportion Layers'!$A$8:$A$324,0))</f>
        <v>1643729</v>
      </c>
      <c r="M70" s="67">
        <f t="shared" si="0"/>
        <v>11131220</v>
      </c>
      <c r="N70" s="68"/>
      <c r="O70" s="68">
        <f>ROUND(VLOOKUP(A70,'Contribution Allocation_Report'!$A$9:$D$314,4,FALSE)*'OPEB Amounts_Report'!$O$326,0)</f>
        <v>-2614764</v>
      </c>
      <c r="P70" s="68">
        <f>INDEX('Change in Proportion Layers'!$AD$8:$AD$324,MATCH('OPEB Amounts_Report'!A70,'Change in Proportion Layers'!$A$8:$A$324,0))</f>
        <v>-56458</v>
      </c>
      <c r="Q70" s="68">
        <f t="shared" si="2"/>
        <v>-2671222</v>
      </c>
    </row>
    <row r="71" spans="1:17" ht="12" customHeight="1">
      <c r="A71" s="227">
        <v>2630</v>
      </c>
      <c r="B71" s="228" t="s">
        <v>60</v>
      </c>
      <c r="C71" s="84">
        <f>ROUND(VLOOKUP(A71,'Contribution Allocation_Report'!$A$9:$D$314,4,FALSE)*'OPEB Amounts_Report'!$C$326,0)</f>
        <v>9217397</v>
      </c>
      <c r="D71" s="84">
        <f>ROUND(VLOOKUP(A71,'Contribution Allocation_Report'!$A$9:$D$314,4,FALSE)*'OPEB Amounts_Report'!$D$326,0)</f>
        <v>98783</v>
      </c>
      <c r="E71" s="84">
        <f>ROUND(VLOOKUP(A71,'Contribution Allocation_Report'!$A$9:$D$314,4,FALSE)*'OPEB Amounts_Report'!$E$326,0)</f>
        <v>82395</v>
      </c>
      <c r="F71" s="84">
        <f>ROUND(VLOOKUP(A71,'Contribution Allocation_Report'!$A$9:$D$314,4,FALSE)*'OPEB Amounts_Report'!$F$326,0)</f>
        <v>1724806</v>
      </c>
      <c r="G71" s="84">
        <f>INDEX('Change in Proportion Layers'!$AF$8:$AF$324,MATCH('OPEB Amounts_Report'!A71,'Change in Proportion Layers'!$A$8:$A$324,0))</f>
        <v>1062831</v>
      </c>
      <c r="H71" s="84">
        <f t="shared" si="1"/>
        <v>2968815</v>
      </c>
      <c r="I71" s="84"/>
      <c r="J71" s="84">
        <f>ROUND(VLOOKUP(A71,'Contribution Allocation_Report'!$A$9:$D$314,4,FALSE)*'OPEB Amounts_Report'!$J$326,0)</f>
        <v>962798</v>
      </c>
      <c r="K71" s="84">
        <f>ROUND(VLOOKUP(A71,'Contribution Allocation_Report'!$A$9:$D$314,4,FALSE)*'OPEB Amounts_Report'!$K$326,0)</f>
        <v>5845092</v>
      </c>
      <c r="L71" s="84">
        <f>INDEX('Change in Proportion Layers'!$AG$8:$AG$324,MATCH('OPEB Amounts_Report'!A71,'Change in Proportion Layers'!$A$8:$A$324,0))</f>
        <v>2566462</v>
      </c>
      <c r="M71" s="84">
        <f t="shared" si="0"/>
        <v>9374352</v>
      </c>
      <c r="N71" s="85"/>
      <c r="O71" s="85">
        <f>ROUND(VLOOKUP(A71,'Contribution Allocation_Report'!$A$9:$D$314,4,FALSE)*'OPEB Amounts_Report'!$O$326,0)</f>
        <v>-1876262</v>
      </c>
      <c r="P71" s="85">
        <f>INDEX('Change in Proportion Layers'!$AD$8:$AD$324,MATCH('OPEB Amounts_Report'!A71,'Change in Proportion Layers'!$A$8:$A$324,0))</f>
        <v>-351977</v>
      </c>
      <c r="Q71" s="85">
        <f t="shared" si="2"/>
        <v>-2228239</v>
      </c>
    </row>
    <row r="72" spans="1:17" ht="12" customHeight="1">
      <c r="A72" s="59">
        <v>2690</v>
      </c>
      <c r="B72" s="63" t="s">
        <v>61</v>
      </c>
      <c r="C72" s="67">
        <f>ROUND(VLOOKUP(A72,'Contribution Allocation_Report'!$A$9:$D$314,4,FALSE)*'OPEB Amounts_Report'!$C$326,0)</f>
        <v>24029626</v>
      </c>
      <c r="D72" s="67">
        <f>ROUND(VLOOKUP(A72,'Contribution Allocation_Report'!$A$9:$D$314,4,FALSE)*'OPEB Amounts_Report'!$D$326,0)</f>
        <v>257526</v>
      </c>
      <c r="E72" s="67">
        <f>ROUND(VLOOKUP(A72,'Contribution Allocation_Report'!$A$9:$D$314,4,FALSE)*'OPEB Amounts_Report'!$E$326,0)</f>
        <v>214802</v>
      </c>
      <c r="F72" s="67">
        <f>ROUND(VLOOKUP(A72,'Contribution Allocation_Report'!$A$9:$D$314,4,FALSE)*'OPEB Amounts_Report'!$F$326,0)</f>
        <v>4496545</v>
      </c>
      <c r="G72" s="67">
        <f>INDEX('Change in Proportion Layers'!$AF$8:$AF$324,MATCH('OPEB Amounts_Report'!A72,'Change in Proportion Layers'!$A$8:$A$324,0))</f>
        <v>1247805</v>
      </c>
      <c r="H72" s="67">
        <f t="shared" si="1"/>
        <v>6216678</v>
      </c>
      <c r="I72" s="67"/>
      <c r="J72" s="67">
        <f>ROUND(VLOOKUP(A72,'Contribution Allocation_Report'!$A$9:$D$314,4,FALSE)*'OPEB Amounts_Report'!$J$326,0)</f>
        <v>2510000</v>
      </c>
      <c r="K72" s="67">
        <f>ROUND(VLOOKUP(A72,'Contribution Allocation_Report'!$A$9:$D$314,4,FALSE)*'OPEB Amounts_Report'!$K$326,0)</f>
        <v>15238074</v>
      </c>
      <c r="L72" s="67">
        <f>INDEX('Change in Proportion Layers'!$AG$8:$AG$324,MATCH('OPEB Amounts_Report'!A72,'Change in Proportion Layers'!$A$8:$A$324,0))</f>
        <v>4410379</v>
      </c>
      <c r="M72" s="67">
        <f t="shared" si="0"/>
        <v>22158453</v>
      </c>
      <c r="N72" s="68"/>
      <c r="O72" s="68">
        <f>ROUND(VLOOKUP(A72,'Contribution Allocation_Report'!$A$9:$D$314,4,FALSE)*'OPEB Amounts_Report'!$O$326,0)</f>
        <v>-4891390</v>
      </c>
      <c r="P72" s="68">
        <f>INDEX('Change in Proportion Layers'!$AD$8:$AD$324,MATCH('OPEB Amounts_Report'!A72,'Change in Proportion Layers'!$A$8:$A$324,0))</f>
        <v>-2284538</v>
      </c>
      <c r="Q72" s="68">
        <f t="shared" si="2"/>
        <v>-7175928</v>
      </c>
    </row>
    <row r="73" spans="1:17" ht="12" customHeight="1">
      <c r="A73" s="227">
        <v>2710</v>
      </c>
      <c r="B73" s="228" t="s">
        <v>62</v>
      </c>
      <c r="C73" s="84">
        <f>ROUND(VLOOKUP(A73,'Contribution Allocation_Report'!$A$9:$D$314,4,FALSE)*'OPEB Amounts_Report'!$C$326,0)</f>
        <v>227681</v>
      </c>
      <c r="D73" s="84">
        <f>ROUND(VLOOKUP(A73,'Contribution Allocation_Report'!$A$9:$D$314,4,FALSE)*'OPEB Amounts_Report'!$D$326,0)</f>
        <v>2440</v>
      </c>
      <c r="E73" s="84">
        <f>ROUND(VLOOKUP(A73,'Contribution Allocation_Report'!$A$9:$D$314,4,FALSE)*'OPEB Amounts_Report'!$E$326,0)</f>
        <v>2035</v>
      </c>
      <c r="F73" s="84">
        <f>ROUND(VLOOKUP(A73,'Contribution Allocation_Report'!$A$9:$D$314,4,FALSE)*'OPEB Amounts_Report'!$F$326,0)</f>
        <v>42605</v>
      </c>
      <c r="G73" s="84">
        <f>INDEX('Change in Proportion Layers'!$AF$8:$AF$324,MATCH('OPEB Amounts_Report'!A73,'Change in Proportion Layers'!$A$8:$A$324,0))</f>
        <v>0</v>
      </c>
      <c r="H73" s="84">
        <f t="shared" si="1"/>
        <v>47080</v>
      </c>
      <c r="I73" s="84"/>
      <c r="J73" s="84">
        <f>ROUND(VLOOKUP(A73,'Contribution Allocation_Report'!$A$9:$D$314,4,FALSE)*'OPEB Amounts_Report'!$J$326,0)</f>
        <v>23782</v>
      </c>
      <c r="K73" s="84">
        <f>ROUND(VLOOKUP(A73,'Contribution Allocation_Report'!$A$9:$D$314,4,FALSE)*'OPEB Amounts_Report'!$K$326,0)</f>
        <v>144381</v>
      </c>
      <c r="L73" s="84">
        <f>INDEX('Change in Proportion Layers'!$AG$8:$AG$324,MATCH('OPEB Amounts_Report'!A73,'Change in Proportion Layers'!$A$8:$A$324,0))</f>
        <v>385013</v>
      </c>
      <c r="M73" s="84">
        <f t="shared" si="0"/>
        <v>553176</v>
      </c>
      <c r="N73" s="85"/>
      <c r="O73" s="85">
        <f>ROUND(VLOOKUP(A73,'Contribution Allocation_Report'!$A$9:$D$314,4,FALSE)*'OPEB Amounts_Report'!$O$326,0)</f>
        <v>-46346</v>
      </c>
      <c r="P73" s="85">
        <f>INDEX('Change in Proportion Layers'!$AD$8:$AD$324,MATCH('OPEB Amounts_Report'!A73,'Change in Proportion Layers'!$A$8:$A$324,0))</f>
        <v>-164517</v>
      </c>
      <c r="Q73" s="85">
        <f t="shared" si="2"/>
        <v>-210863</v>
      </c>
    </row>
    <row r="74" spans="1:17" ht="12" customHeight="1">
      <c r="A74" s="59">
        <v>2730</v>
      </c>
      <c r="B74" s="63" t="s">
        <v>63</v>
      </c>
      <c r="C74" s="67">
        <f>ROUND(VLOOKUP(A74,'Contribution Allocation_Report'!$A$9:$D$314,4,FALSE)*'OPEB Amounts_Report'!$C$326,0)</f>
        <v>1967431</v>
      </c>
      <c r="D74" s="67">
        <f>ROUND(VLOOKUP(A74,'Contribution Allocation_Report'!$A$9:$D$314,4,FALSE)*'OPEB Amounts_Report'!$D$326,0)</f>
        <v>21085</v>
      </c>
      <c r="E74" s="67">
        <f>ROUND(VLOOKUP(A74,'Contribution Allocation_Report'!$A$9:$D$314,4,FALSE)*'OPEB Amounts_Report'!$E$326,0)</f>
        <v>17587</v>
      </c>
      <c r="F74" s="67">
        <f>ROUND(VLOOKUP(A74,'Contribution Allocation_Report'!$A$9:$D$314,4,FALSE)*'OPEB Amounts_Report'!$F$326,0)</f>
        <v>368156</v>
      </c>
      <c r="G74" s="67">
        <f>INDEX('Change in Proportion Layers'!$AF$8:$AF$324,MATCH('OPEB Amounts_Report'!A74,'Change in Proportion Layers'!$A$8:$A$324,0))</f>
        <v>305249</v>
      </c>
      <c r="H74" s="67">
        <f t="shared" si="1"/>
        <v>712077</v>
      </c>
      <c r="I74" s="67"/>
      <c r="J74" s="67">
        <f>ROUND(VLOOKUP(A74,'Contribution Allocation_Report'!$A$9:$D$314,4,FALSE)*'OPEB Amounts_Report'!$J$326,0)</f>
        <v>205507</v>
      </c>
      <c r="K74" s="67">
        <f>ROUND(VLOOKUP(A74,'Contribution Allocation_Report'!$A$9:$D$314,4,FALSE)*'OPEB Amounts_Report'!$K$326,0)</f>
        <v>1247621</v>
      </c>
      <c r="L74" s="250">
        <f>INDEX('Change in Proportion Layers'!$AG$8:$AG$324,MATCH('OPEB Amounts_Report'!A74,'Change in Proportion Layers'!$A$8:$A$324,0))</f>
        <v>58336</v>
      </c>
      <c r="M74" s="67">
        <f t="shared" ref="M74:M138" si="3">SUM(J74:L74)</f>
        <v>1511464</v>
      </c>
      <c r="N74" s="68"/>
      <c r="O74" s="68">
        <f>ROUND(VLOOKUP(A74,'Contribution Allocation_Report'!$A$9:$D$314,4,FALSE)*'OPEB Amounts_Report'!$O$326,0)</f>
        <v>-400484</v>
      </c>
      <c r="P74" s="68">
        <f>INDEX('Change in Proportion Layers'!$AD$8:$AD$324,MATCH('OPEB Amounts_Report'!A74,'Change in Proportion Layers'!$A$8:$A$324,0))</f>
        <v>-14557</v>
      </c>
      <c r="Q74" s="68">
        <f t="shared" si="2"/>
        <v>-415041</v>
      </c>
    </row>
    <row r="75" spans="1:17" ht="12" customHeight="1">
      <c r="A75" s="227">
        <v>2950</v>
      </c>
      <c r="B75" s="228" t="s">
        <v>64</v>
      </c>
      <c r="C75" s="84">
        <f>ROUND(VLOOKUP(A75,'Contribution Allocation_Report'!$A$9:$D$314,4,FALSE)*'OPEB Amounts_Report'!$C$326,0)</f>
        <v>1443107</v>
      </c>
      <c r="D75" s="84">
        <f>ROUND(VLOOKUP(A75,'Contribution Allocation_Report'!$A$9:$D$314,4,FALSE)*'OPEB Amounts_Report'!$D$326,0)</f>
        <v>15466</v>
      </c>
      <c r="E75" s="84">
        <f>ROUND(VLOOKUP(A75,'Contribution Allocation_Report'!$A$9:$D$314,4,FALSE)*'OPEB Amounts_Report'!$E$326,0)</f>
        <v>12900</v>
      </c>
      <c r="F75" s="84">
        <f>ROUND(VLOOKUP(A75,'Contribution Allocation_Report'!$A$9:$D$314,4,FALSE)*'OPEB Amounts_Report'!$F$326,0)</f>
        <v>270041</v>
      </c>
      <c r="G75" s="84">
        <f>INDEX('Change in Proportion Layers'!$AF$8:$AF$324,MATCH('OPEB Amounts_Report'!A75,'Change in Proportion Layers'!$A$8:$A$324,0))</f>
        <v>299087</v>
      </c>
      <c r="H75" s="84">
        <f t="shared" ref="H75:H139" si="4">SUM(D75:G75)</f>
        <v>597494</v>
      </c>
      <c r="I75" s="84"/>
      <c r="J75" s="84">
        <f>ROUND(VLOOKUP(A75,'Contribution Allocation_Report'!$A$9:$D$314,4,FALSE)*'OPEB Amounts_Report'!$J$326,0)</f>
        <v>150739</v>
      </c>
      <c r="K75" s="84">
        <f>ROUND(VLOOKUP(A75,'Contribution Allocation_Report'!$A$9:$D$314,4,FALSE)*'OPEB Amounts_Report'!$K$326,0)</f>
        <v>915127</v>
      </c>
      <c r="L75" s="84">
        <f>INDEX('Change in Proportion Layers'!$AG$8:$AG$324,MATCH('OPEB Amounts_Report'!A75,'Change in Proportion Layers'!$A$8:$A$324,0))</f>
        <v>407957</v>
      </c>
      <c r="M75" s="84">
        <f t="shared" si="3"/>
        <v>1473823</v>
      </c>
      <c r="N75" s="85"/>
      <c r="O75" s="85">
        <f>ROUND(VLOOKUP(A75,'Contribution Allocation_Report'!$A$9:$D$314,4,FALSE)*'OPEB Amounts_Report'!$O$326,0)</f>
        <v>-293754</v>
      </c>
      <c r="P75" s="85">
        <f>INDEX('Change in Proportion Layers'!$AD$8:$AD$324,MATCH('OPEB Amounts_Report'!A75,'Change in Proportion Layers'!$A$8:$A$324,0))</f>
        <v>-74828</v>
      </c>
      <c r="Q75" s="85">
        <f t="shared" ref="Q75:Q139" si="5">+O75+P75</f>
        <v>-368582</v>
      </c>
    </row>
    <row r="76" spans="1:17" ht="12" customHeight="1">
      <c r="A76" s="59">
        <v>2760</v>
      </c>
      <c r="B76" s="63" t="s">
        <v>65</v>
      </c>
      <c r="C76" s="67">
        <f>ROUND(VLOOKUP(A76,'Contribution Allocation_Report'!$A$9:$D$314,4,FALSE)*'OPEB Amounts_Report'!$C$326,0)</f>
        <v>1212413</v>
      </c>
      <c r="D76" s="67">
        <f>ROUND(VLOOKUP(A76,'Contribution Allocation_Report'!$A$9:$D$314,4,FALSE)*'OPEB Amounts_Report'!$D$326,0)</f>
        <v>12993</v>
      </c>
      <c r="E76" s="67">
        <f>ROUND(VLOOKUP(A76,'Contribution Allocation_Report'!$A$9:$D$314,4,FALSE)*'OPEB Amounts_Report'!$E$326,0)</f>
        <v>10838</v>
      </c>
      <c r="F76" s="67">
        <f>ROUND(VLOOKUP(A76,'Contribution Allocation_Report'!$A$9:$D$314,4,FALSE)*'OPEB Amounts_Report'!$F$326,0)</f>
        <v>226873</v>
      </c>
      <c r="G76" s="67">
        <f>INDEX('Change in Proportion Layers'!$AF$8:$AF$324,MATCH('OPEB Amounts_Report'!A76,'Change in Proportion Layers'!$A$8:$A$324,0))</f>
        <v>98421</v>
      </c>
      <c r="H76" s="67">
        <f t="shared" si="4"/>
        <v>349125</v>
      </c>
      <c r="I76" s="67"/>
      <c r="J76" s="67">
        <f>ROUND(VLOOKUP(A76,'Contribution Allocation_Report'!$A$9:$D$314,4,FALSE)*'OPEB Amounts_Report'!$J$326,0)</f>
        <v>126642</v>
      </c>
      <c r="K76" s="67">
        <f>ROUND(VLOOKUP(A76,'Contribution Allocation_Report'!$A$9:$D$314,4,FALSE)*'OPEB Amounts_Report'!$K$326,0)</f>
        <v>768836</v>
      </c>
      <c r="L76" s="250">
        <f>INDEX('Change in Proportion Layers'!$AG$8:$AG$324,MATCH('OPEB Amounts_Report'!A76,'Change in Proportion Layers'!$A$8:$A$324,0))</f>
        <v>313140</v>
      </c>
      <c r="M76" s="67">
        <f t="shared" si="3"/>
        <v>1208618</v>
      </c>
      <c r="N76" s="68"/>
      <c r="O76" s="68">
        <f>ROUND(VLOOKUP(A76,'Contribution Allocation_Report'!$A$9:$D$314,4,FALSE)*'OPEB Amounts_Report'!$O$326,0)</f>
        <v>-246795</v>
      </c>
      <c r="P76" s="68">
        <f>INDEX('Change in Proportion Layers'!$AD$8:$AD$324,MATCH('OPEB Amounts_Report'!A76,'Change in Proportion Layers'!$A$8:$A$324,0))</f>
        <v>-64793</v>
      </c>
      <c r="Q76" s="68">
        <f t="shared" si="5"/>
        <v>-311588</v>
      </c>
    </row>
    <row r="77" spans="1:17" ht="12" customHeight="1">
      <c r="A77" s="227">
        <v>2780</v>
      </c>
      <c r="B77" s="228" t="s">
        <v>66</v>
      </c>
      <c r="C77" s="84">
        <f>ROUND(VLOOKUP(A77,'Contribution Allocation_Report'!$A$9:$D$314,4,FALSE)*'OPEB Amounts_Report'!$C$326,0)</f>
        <v>105355</v>
      </c>
      <c r="D77" s="84">
        <f>ROUND(VLOOKUP(A77,'Contribution Allocation_Report'!$A$9:$D$314,4,FALSE)*'OPEB Amounts_Report'!$D$326,0)</f>
        <v>1129</v>
      </c>
      <c r="E77" s="84">
        <f>ROUND(VLOOKUP(A77,'Contribution Allocation_Report'!$A$9:$D$314,4,FALSE)*'OPEB Amounts_Report'!$E$326,0)</f>
        <v>942</v>
      </c>
      <c r="F77" s="84">
        <f>ROUND(VLOOKUP(A77,'Contribution Allocation_Report'!$A$9:$D$314,4,FALSE)*'OPEB Amounts_Report'!$F$326,0)</f>
        <v>19715</v>
      </c>
      <c r="G77" s="251">
        <f>INDEX('Change in Proportion Layers'!$AF$8:$AF$324,MATCH('OPEB Amounts_Report'!A77,'Change in Proportion Layers'!$A$8:$A$324,0))</f>
        <v>11474</v>
      </c>
      <c r="H77" s="84">
        <f t="shared" si="4"/>
        <v>33260</v>
      </c>
      <c r="I77" s="84"/>
      <c r="J77" s="84">
        <f>ROUND(VLOOKUP(A77,'Contribution Allocation_Report'!$A$9:$D$314,4,FALSE)*'OPEB Amounts_Report'!$J$326,0)</f>
        <v>11005</v>
      </c>
      <c r="K77" s="84">
        <f>ROUND(VLOOKUP(A77,'Contribution Allocation_Report'!$A$9:$D$314,4,FALSE)*'OPEB Amounts_Report'!$K$326,0)</f>
        <v>66810</v>
      </c>
      <c r="L77" s="84">
        <f>INDEX('Change in Proportion Layers'!$AG$8:$AG$324,MATCH('OPEB Amounts_Report'!A77,'Change in Proportion Layers'!$A$8:$A$324,0))</f>
        <v>44473</v>
      </c>
      <c r="M77" s="84">
        <f t="shared" si="3"/>
        <v>122288</v>
      </c>
      <c r="N77" s="85"/>
      <c r="O77" s="85">
        <f>ROUND(VLOOKUP(A77,'Contribution Allocation_Report'!$A$9:$D$314,4,FALSE)*'OPEB Amounts_Report'!$O$326,0)</f>
        <v>-21446</v>
      </c>
      <c r="P77" s="85">
        <f>INDEX('Change in Proportion Layers'!$AD$8:$AD$324,MATCH('OPEB Amounts_Report'!A77,'Change in Proportion Layers'!$A$8:$A$324,0))</f>
        <v>-13050</v>
      </c>
      <c r="Q77" s="85">
        <f t="shared" si="5"/>
        <v>-34496</v>
      </c>
    </row>
    <row r="78" spans="1:17" ht="12" customHeight="1">
      <c r="A78" s="59">
        <v>2810</v>
      </c>
      <c r="B78" s="63" t="s">
        <v>67</v>
      </c>
      <c r="C78" s="67">
        <f>ROUND(VLOOKUP(A78,'Contribution Allocation_Report'!$A$9:$D$314,4,FALSE)*'OPEB Amounts_Report'!$C$326,0)</f>
        <v>939495</v>
      </c>
      <c r="D78" s="67">
        <f>ROUND(VLOOKUP(A78,'Contribution Allocation_Report'!$A$9:$D$314,4,FALSE)*'OPEB Amounts_Report'!$D$326,0)</f>
        <v>10069</v>
      </c>
      <c r="E78" s="67">
        <f>ROUND(VLOOKUP(A78,'Contribution Allocation_Report'!$A$9:$D$314,4,FALSE)*'OPEB Amounts_Report'!$E$326,0)</f>
        <v>8398</v>
      </c>
      <c r="F78" s="67">
        <f>ROUND(VLOOKUP(A78,'Contribution Allocation_Report'!$A$9:$D$314,4,FALSE)*'OPEB Amounts_Report'!$F$326,0)</f>
        <v>175803</v>
      </c>
      <c r="G78" s="67">
        <f>INDEX('Change in Proportion Layers'!$AF$8:$AF$324,MATCH('OPEB Amounts_Report'!A78,'Change in Proportion Layers'!$A$8:$A$324,0))</f>
        <v>22195</v>
      </c>
      <c r="H78" s="67">
        <f t="shared" si="4"/>
        <v>216465</v>
      </c>
      <c r="I78" s="67"/>
      <c r="J78" s="67">
        <f>ROUND(VLOOKUP(A78,'Contribution Allocation_Report'!$A$9:$D$314,4,FALSE)*'OPEB Amounts_Report'!$J$326,0)</f>
        <v>98134</v>
      </c>
      <c r="K78" s="67">
        <f>ROUND(VLOOKUP(A78,'Contribution Allocation_Report'!$A$9:$D$314,4,FALSE)*'OPEB Amounts_Report'!$K$326,0)</f>
        <v>595769</v>
      </c>
      <c r="L78" s="250">
        <f>INDEX('Change in Proportion Layers'!$AG$8:$AG$324,MATCH('OPEB Amounts_Report'!A78,'Change in Proportion Layers'!$A$8:$A$324,0))</f>
        <v>427365</v>
      </c>
      <c r="M78" s="67">
        <f t="shared" si="3"/>
        <v>1121268</v>
      </c>
      <c r="N78" s="68"/>
      <c r="O78" s="68">
        <f>ROUND(VLOOKUP(A78,'Contribution Allocation_Report'!$A$9:$D$314,4,FALSE)*'OPEB Amounts_Report'!$O$326,0)</f>
        <v>-191240</v>
      </c>
      <c r="P78" s="68">
        <f>INDEX('Change in Proportion Layers'!$AD$8:$AD$324,MATCH('OPEB Amounts_Report'!A78,'Change in Proportion Layers'!$A$8:$A$324,0))</f>
        <v>-290507</v>
      </c>
      <c r="Q78" s="68">
        <f t="shared" si="5"/>
        <v>-481747</v>
      </c>
    </row>
    <row r="79" spans="1:17" ht="12" customHeight="1">
      <c r="A79" s="227">
        <v>18056</v>
      </c>
      <c r="B79" s="228" t="s">
        <v>68</v>
      </c>
      <c r="C79" s="84">
        <f>ROUND(VLOOKUP(A79,'Contribution Allocation_Report'!$A$9:$D$314,4,FALSE)*'OPEB Amounts_Report'!$C$326,0)</f>
        <v>1202743</v>
      </c>
      <c r="D79" s="84">
        <f>ROUND(VLOOKUP(A79,'Contribution Allocation_Report'!$A$9:$D$314,4,FALSE)*'OPEB Amounts_Report'!$D$326,0)</f>
        <v>12890</v>
      </c>
      <c r="E79" s="84">
        <f>ROUND(VLOOKUP(A79,'Contribution Allocation_Report'!$A$9:$D$314,4,FALSE)*'OPEB Amounts_Report'!$E$326,0)</f>
        <v>10751</v>
      </c>
      <c r="F79" s="84">
        <f>ROUND(VLOOKUP(A79,'Contribution Allocation_Report'!$A$9:$D$314,4,FALSE)*'OPEB Amounts_Report'!$F$326,0)</f>
        <v>225063</v>
      </c>
      <c r="G79" s="251">
        <f>INDEX('Change in Proportion Layers'!$AF$8:$AF$324,MATCH('OPEB Amounts_Report'!A79,'Change in Proportion Layers'!$A$8:$A$324,0))</f>
        <v>149802</v>
      </c>
      <c r="H79" s="84">
        <f t="shared" si="4"/>
        <v>398506</v>
      </c>
      <c r="I79" s="84"/>
      <c r="J79" s="84">
        <f>ROUND(VLOOKUP(A79,'Contribution Allocation_Report'!$A$9:$D$314,4,FALSE)*'OPEB Amounts_Report'!$J$326,0)</f>
        <v>125632</v>
      </c>
      <c r="K79" s="84">
        <f>ROUND(VLOOKUP(A79,'Contribution Allocation_Report'!$A$9:$D$314,4,FALSE)*'OPEB Amounts_Report'!$K$326,0)</f>
        <v>762704</v>
      </c>
      <c r="L79" s="84">
        <f>INDEX('Change in Proportion Layers'!$AG$8:$AG$324,MATCH('OPEB Amounts_Report'!A79,'Change in Proportion Layers'!$A$8:$A$324,0))</f>
        <v>229723</v>
      </c>
      <c r="M79" s="84">
        <f t="shared" si="3"/>
        <v>1118059</v>
      </c>
      <c r="N79" s="85"/>
      <c r="O79" s="85">
        <f>ROUND(VLOOKUP(A79,'Contribution Allocation_Report'!$A$9:$D$314,4,FALSE)*'OPEB Amounts_Report'!$O$326,0)</f>
        <v>-244826</v>
      </c>
      <c r="P79" s="85">
        <f>INDEX('Change in Proportion Layers'!$AD$8:$AD$324,MATCH('OPEB Amounts_Report'!A79,'Change in Proportion Layers'!$A$8:$A$324,0))</f>
        <v>-40683</v>
      </c>
      <c r="Q79" s="85">
        <f t="shared" si="5"/>
        <v>-285509</v>
      </c>
    </row>
    <row r="80" spans="1:17" ht="12" customHeight="1">
      <c r="A80" s="59">
        <v>15047</v>
      </c>
      <c r="B80" s="63" t="s">
        <v>69</v>
      </c>
      <c r="C80" s="67">
        <f>ROUND(VLOOKUP(A80,'Contribution Allocation_Report'!$A$9:$D$314,4,FALSE)*'OPEB Amounts_Report'!$C$326,0)</f>
        <v>1089218</v>
      </c>
      <c r="D80" s="67">
        <f>ROUND(VLOOKUP(A80,'Contribution Allocation_Report'!$A$9:$D$314,4,FALSE)*'OPEB Amounts_Report'!$D$326,0)</f>
        <v>11673</v>
      </c>
      <c r="E80" s="67">
        <f>ROUND(VLOOKUP(A80,'Contribution Allocation_Report'!$A$9:$D$314,4,FALSE)*'OPEB Amounts_Report'!$E$326,0)</f>
        <v>9737</v>
      </c>
      <c r="F80" s="67">
        <f>ROUND(VLOOKUP(A80,'Contribution Allocation_Report'!$A$9:$D$314,4,FALSE)*'OPEB Amounts_Report'!$F$326,0)</f>
        <v>203820</v>
      </c>
      <c r="G80" s="67">
        <f>INDEX('Change in Proportion Layers'!$AF$8:$AF$324,MATCH('OPEB Amounts_Report'!A80,'Change in Proportion Layers'!$A$8:$A$324,0))</f>
        <v>314204</v>
      </c>
      <c r="H80" s="67">
        <f t="shared" si="4"/>
        <v>539434</v>
      </c>
      <c r="I80" s="67"/>
      <c r="J80" s="67">
        <f>ROUND(VLOOKUP(A80,'Contribution Allocation_Report'!$A$9:$D$314,4,FALSE)*'OPEB Amounts_Report'!$J$326,0)</f>
        <v>113774</v>
      </c>
      <c r="K80" s="67">
        <f>ROUND(VLOOKUP(A80,'Contribution Allocation_Report'!$A$9:$D$314,4,FALSE)*'OPEB Amounts_Report'!$K$326,0)</f>
        <v>690713</v>
      </c>
      <c r="L80" s="250">
        <f>INDEX('Change in Proportion Layers'!$AG$8:$AG$324,MATCH('OPEB Amounts_Report'!A80,'Change in Proportion Layers'!$A$8:$A$324,0))</f>
        <v>226772</v>
      </c>
      <c r="M80" s="67">
        <f t="shared" si="3"/>
        <v>1031259</v>
      </c>
      <c r="N80" s="68"/>
      <c r="O80" s="68">
        <f>ROUND(VLOOKUP(A80,'Contribution Allocation_Report'!$A$9:$D$314,4,FALSE)*'OPEB Amounts_Report'!$O$326,0)</f>
        <v>-221718</v>
      </c>
      <c r="P80" s="68">
        <f>INDEX('Change in Proportion Layers'!$AD$8:$AD$324,MATCH('OPEB Amounts_Report'!A80,'Change in Proportion Layers'!$A$8:$A$324,0))</f>
        <v>91971</v>
      </c>
      <c r="Q80" s="68">
        <f t="shared" si="5"/>
        <v>-129747</v>
      </c>
    </row>
    <row r="81" spans="1:17" ht="12" customHeight="1">
      <c r="A81" s="227">
        <v>5012</v>
      </c>
      <c r="B81" s="228" t="s">
        <v>70</v>
      </c>
      <c r="C81" s="84">
        <f>ROUND(VLOOKUP(A81,'Contribution Allocation_Report'!$A$9:$D$314,4,FALSE)*'OPEB Amounts_Report'!$C$326,0)</f>
        <v>18863881</v>
      </c>
      <c r="D81" s="84">
        <f>ROUND(VLOOKUP(A81,'Contribution Allocation_Report'!$A$9:$D$314,4,FALSE)*'OPEB Amounts_Report'!$D$326,0)</f>
        <v>202165</v>
      </c>
      <c r="E81" s="84">
        <f>ROUND(VLOOKUP(A81,'Contribution Allocation_Report'!$A$9:$D$314,4,FALSE)*'OPEB Amounts_Report'!$E$326,0)</f>
        <v>168625</v>
      </c>
      <c r="F81" s="84">
        <f>ROUND(VLOOKUP(A81,'Contribution Allocation_Report'!$A$9:$D$314,4,FALSE)*'OPEB Amounts_Report'!$F$326,0)</f>
        <v>3529905</v>
      </c>
      <c r="G81" s="84">
        <f>INDEX('Change in Proportion Layers'!$AF$8:$AF$324,MATCH('OPEB Amounts_Report'!A81,'Change in Proportion Layers'!$A$8:$A$324,0))</f>
        <v>2410867</v>
      </c>
      <c r="H81" s="84">
        <f t="shared" si="4"/>
        <v>6311562</v>
      </c>
      <c r="I81" s="84"/>
      <c r="J81" s="84">
        <f>ROUND(VLOOKUP(A81,'Contribution Allocation_Report'!$A$9:$D$314,4,FALSE)*'OPEB Amounts_Report'!$J$326,0)</f>
        <v>1970415</v>
      </c>
      <c r="K81" s="84">
        <f>ROUND(VLOOKUP(A81,'Contribution Allocation_Report'!$A$9:$D$314,4,FALSE)*'OPEB Amounts_Report'!$K$326,0)</f>
        <v>11962284</v>
      </c>
      <c r="L81" s="84">
        <f>INDEX('Change in Proportion Layers'!$AG$8:$AG$324,MATCH('OPEB Amounts_Report'!A81,'Change in Proportion Layers'!$A$8:$A$324,0))</f>
        <v>559616</v>
      </c>
      <c r="M81" s="84">
        <f t="shared" si="3"/>
        <v>14492315</v>
      </c>
      <c r="N81" s="85"/>
      <c r="O81" s="85">
        <f>ROUND(VLOOKUP(A81,'Contribution Allocation_Report'!$A$9:$D$314,4,FALSE)*'OPEB Amounts_Report'!$O$326,0)</f>
        <v>-3839868</v>
      </c>
      <c r="P81" s="85">
        <f>INDEX('Change in Proportion Layers'!$AD$8:$AD$324,MATCH('OPEB Amounts_Report'!A81,'Change in Proportion Layers'!$A$8:$A$324,0))</f>
        <v>549890</v>
      </c>
      <c r="Q81" s="85">
        <f t="shared" si="5"/>
        <v>-3289978</v>
      </c>
    </row>
    <row r="82" spans="1:17" ht="12" customHeight="1">
      <c r="A82" s="59">
        <v>8024</v>
      </c>
      <c r="B82" s="63" t="s">
        <v>71</v>
      </c>
      <c r="C82" s="67">
        <f>ROUND(VLOOKUP(A82,'Contribution Allocation_Report'!$A$9:$D$314,4,FALSE)*'OPEB Amounts_Report'!$C$326,0)</f>
        <v>3556841</v>
      </c>
      <c r="D82" s="67">
        <f>ROUND(VLOOKUP(A82,'Contribution Allocation_Report'!$A$9:$D$314,4,FALSE)*'OPEB Amounts_Report'!$D$326,0)</f>
        <v>38119</v>
      </c>
      <c r="E82" s="67">
        <f>ROUND(VLOOKUP(A82,'Contribution Allocation_Report'!$A$9:$D$314,4,FALSE)*'OPEB Amounts_Report'!$E$326,0)</f>
        <v>31795</v>
      </c>
      <c r="F82" s="67">
        <f>ROUND(VLOOKUP(A82,'Contribution Allocation_Report'!$A$9:$D$314,4,FALSE)*'OPEB Amounts_Report'!$F$326,0)</f>
        <v>665574</v>
      </c>
      <c r="G82" s="67">
        <f>INDEX('Change in Proportion Layers'!$AF$8:$AF$324,MATCH('OPEB Amounts_Report'!A82,'Change in Proportion Layers'!$A$8:$A$324,0))</f>
        <v>215722</v>
      </c>
      <c r="H82" s="67">
        <f t="shared" si="4"/>
        <v>951210</v>
      </c>
      <c r="I82" s="67"/>
      <c r="J82" s="67">
        <f>ROUND(VLOOKUP(A82,'Contribution Allocation_Report'!$A$9:$D$314,4,FALSE)*'OPEB Amounts_Report'!$J$326,0)</f>
        <v>371528</v>
      </c>
      <c r="K82" s="67">
        <f>ROUND(VLOOKUP(A82,'Contribution Allocation_Report'!$A$9:$D$314,4,FALSE)*'OPEB Amounts_Report'!$K$326,0)</f>
        <v>2255525</v>
      </c>
      <c r="L82" s="67">
        <f>INDEX('Change in Proportion Layers'!$AG$8:$AG$324,MATCH('OPEB Amounts_Report'!A82,'Change in Proportion Layers'!$A$8:$A$324,0))</f>
        <v>830246</v>
      </c>
      <c r="M82" s="67">
        <f t="shared" si="3"/>
        <v>3457299</v>
      </c>
      <c r="N82" s="68"/>
      <c r="O82" s="68">
        <f>ROUND(VLOOKUP(A82,'Contribution Allocation_Report'!$A$9:$D$314,4,FALSE)*'OPEB Amounts_Report'!$O$326,0)</f>
        <v>-724019</v>
      </c>
      <c r="P82" s="68">
        <f>INDEX('Change in Proportion Layers'!$AD$8:$AD$324,MATCH('OPEB Amounts_Report'!A82,'Change in Proportion Layers'!$A$8:$A$324,0))</f>
        <v>-59687</v>
      </c>
      <c r="Q82" s="68">
        <f t="shared" si="5"/>
        <v>-783706</v>
      </c>
    </row>
    <row r="83" spans="1:17" ht="12" customHeight="1">
      <c r="A83" s="227">
        <v>3050</v>
      </c>
      <c r="B83" s="228" t="s">
        <v>72</v>
      </c>
      <c r="C83" s="84">
        <f>ROUND(VLOOKUP(A83,'Contribution Allocation_Report'!$A$9:$D$314,4,FALSE)*'OPEB Amounts_Report'!$C$326,0)</f>
        <v>1323808</v>
      </c>
      <c r="D83" s="84">
        <f>ROUND(VLOOKUP(A83,'Contribution Allocation_Report'!$A$9:$D$314,4,FALSE)*'OPEB Amounts_Report'!$D$326,0)</f>
        <v>14187</v>
      </c>
      <c r="E83" s="84">
        <f>ROUND(VLOOKUP(A83,'Contribution Allocation_Report'!$A$9:$D$314,4,FALSE)*'OPEB Amounts_Report'!$E$326,0)</f>
        <v>11834</v>
      </c>
      <c r="F83" s="84">
        <f>ROUND(VLOOKUP(A83,'Contribution Allocation_Report'!$A$9:$D$314,4,FALSE)*'OPEB Amounts_Report'!$F$326,0)</f>
        <v>247718</v>
      </c>
      <c r="G83" s="84">
        <f>INDEX('Change in Proportion Layers'!$AF$8:$AF$324,MATCH('OPEB Amounts_Report'!A83,'Change in Proportion Layers'!$A$8:$A$324,0))</f>
        <v>201568</v>
      </c>
      <c r="H83" s="84">
        <f t="shared" si="4"/>
        <v>475307</v>
      </c>
      <c r="I83" s="84"/>
      <c r="J83" s="84">
        <f>ROUND(VLOOKUP(A83,'Contribution Allocation_Report'!$A$9:$D$314,4,FALSE)*'OPEB Amounts_Report'!$J$326,0)</f>
        <v>138278</v>
      </c>
      <c r="K83" s="84">
        <f>ROUND(VLOOKUP(A83,'Contribution Allocation_Report'!$A$9:$D$314,4,FALSE)*'OPEB Amounts_Report'!$K$326,0)</f>
        <v>839476</v>
      </c>
      <c r="L83" s="84">
        <f>INDEX('Change in Proportion Layers'!$AG$8:$AG$324,MATCH('OPEB Amounts_Report'!A83,'Change in Proportion Layers'!$A$8:$A$324,0))</f>
        <v>116345</v>
      </c>
      <c r="M83" s="84">
        <f t="shared" si="3"/>
        <v>1094099</v>
      </c>
      <c r="N83" s="85"/>
      <c r="O83" s="85">
        <f>ROUND(VLOOKUP(A83,'Contribution Allocation_Report'!$A$9:$D$314,4,FALSE)*'OPEB Amounts_Report'!$O$326,0)</f>
        <v>-269470</v>
      </c>
      <c r="P83" s="85">
        <f>INDEX('Change in Proportion Layers'!$AD$8:$AD$324,MATCH('OPEB Amounts_Report'!A83,'Change in Proportion Layers'!$A$8:$A$324,0))</f>
        <v>47259</v>
      </c>
      <c r="Q83" s="85">
        <f t="shared" si="5"/>
        <v>-222211</v>
      </c>
    </row>
    <row r="84" spans="1:17" ht="12" customHeight="1">
      <c r="A84" s="59">
        <v>2421</v>
      </c>
      <c r="B84" s="63" t="s">
        <v>73</v>
      </c>
      <c r="C84" s="67">
        <f>ROUND(VLOOKUP(A84,'Contribution Allocation_Report'!$A$9:$D$314,4,FALSE)*'OPEB Amounts_Report'!$C$326,0)</f>
        <v>435351</v>
      </c>
      <c r="D84" s="67">
        <f>ROUND(VLOOKUP(A84,'Contribution Allocation_Report'!$A$9:$D$314,4,FALSE)*'OPEB Amounts_Report'!$D$326,0)</f>
        <v>4666</v>
      </c>
      <c r="E84" s="67">
        <f>ROUND(VLOOKUP(A84,'Contribution Allocation_Report'!$A$9:$D$314,4,FALSE)*'OPEB Amounts_Report'!$E$326,0)</f>
        <v>3892</v>
      </c>
      <c r="F84" s="67">
        <f>ROUND(VLOOKUP(A84,'Contribution Allocation_Report'!$A$9:$D$314,4,FALSE)*'OPEB Amounts_Report'!$F$326,0)</f>
        <v>81465</v>
      </c>
      <c r="G84" s="67">
        <f>INDEX('Change in Proportion Layers'!$AF$8:$AF$324,MATCH('OPEB Amounts_Report'!A84,'Change in Proportion Layers'!$A$8:$A$324,0))</f>
        <v>113162</v>
      </c>
      <c r="H84" s="67">
        <f t="shared" si="4"/>
        <v>203185</v>
      </c>
      <c r="I84" s="67"/>
      <c r="J84" s="67">
        <f>ROUND(VLOOKUP(A84,'Contribution Allocation_Report'!$A$9:$D$314,4,FALSE)*'OPEB Amounts_Report'!$J$326,0)</f>
        <v>45474</v>
      </c>
      <c r="K84" s="67">
        <f>ROUND(VLOOKUP(A84,'Contribution Allocation_Report'!$A$9:$D$314,4,FALSE)*'OPEB Amounts_Report'!$K$326,0)</f>
        <v>276072</v>
      </c>
      <c r="L84" s="67">
        <f>INDEX('Change in Proportion Layers'!$AG$8:$AG$324,MATCH('OPEB Amounts_Report'!A84,'Change in Proportion Layers'!$A$8:$A$324,0))</f>
        <v>163160</v>
      </c>
      <c r="M84" s="67">
        <f t="shared" si="3"/>
        <v>484706</v>
      </c>
      <c r="N84" s="68"/>
      <c r="O84" s="68">
        <f>ROUND(VLOOKUP(A84,'Contribution Allocation_Report'!$A$9:$D$314,4,FALSE)*'OPEB Amounts_Report'!$O$326,0)</f>
        <v>-88619</v>
      </c>
      <c r="P84" s="68">
        <f>INDEX('Change in Proportion Layers'!$AD$8:$AD$324,MATCH('OPEB Amounts_Report'!A84,'Change in Proportion Layers'!$A$8:$A$324,0))</f>
        <v>-3864</v>
      </c>
      <c r="Q84" s="68">
        <f t="shared" si="5"/>
        <v>-92483</v>
      </c>
    </row>
    <row r="85" spans="1:17" ht="12" customHeight="1">
      <c r="A85" s="227">
        <v>26079</v>
      </c>
      <c r="B85" s="228" t="s">
        <v>74</v>
      </c>
      <c r="C85" s="84">
        <f>ROUND(VLOOKUP(A85,'Contribution Allocation_Report'!$A$9:$D$314,4,FALSE)*'OPEB Amounts_Report'!$C$326,0)</f>
        <v>462622</v>
      </c>
      <c r="D85" s="84">
        <f>ROUND(VLOOKUP(A85,'Contribution Allocation_Report'!$A$9:$D$314,4,FALSE)*'OPEB Amounts_Report'!$D$326,0)</f>
        <v>4958</v>
      </c>
      <c r="E85" s="84">
        <f>ROUND(VLOOKUP(A85,'Contribution Allocation_Report'!$A$9:$D$314,4,FALSE)*'OPEB Amounts_Report'!$E$326,0)</f>
        <v>4135</v>
      </c>
      <c r="F85" s="84">
        <f>ROUND(VLOOKUP(A85,'Contribution Allocation_Report'!$A$9:$D$314,4,FALSE)*'OPEB Amounts_Report'!$F$326,0)</f>
        <v>86568</v>
      </c>
      <c r="G85" s="84">
        <f>INDEX('Change in Proportion Layers'!$AF$8:$AF$324,MATCH('OPEB Amounts_Report'!A85,'Change in Proportion Layers'!$A$8:$A$324,0))</f>
        <v>101299</v>
      </c>
      <c r="H85" s="84">
        <f t="shared" si="4"/>
        <v>196960</v>
      </c>
      <c r="I85" s="84"/>
      <c r="J85" s="84">
        <f>ROUND(VLOOKUP(A85,'Contribution Allocation_Report'!$A$9:$D$314,4,FALSE)*'OPEB Amounts_Report'!$J$326,0)</f>
        <v>48323</v>
      </c>
      <c r="K85" s="84">
        <f>ROUND(VLOOKUP(A85,'Contribution Allocation_Report'!$A$9:$D$314,4,FALSE)*'OPEB Amounts_Report'!$K$326,0)</f>
        <v>293365</v>
      </c>
      <c r="L85" s="251">
        <f>INDEX('Change in Proportion Layers'!$AG$8:$AG$324,MATCH('OPEB Amounts_Report'!A85,'Change in Proportion Layers'!$A$8:$A$324,0))</f>
        <v>12467</v>
      </c>
      <c r="M85" s="84">
        <f t="shared" si="3"/>
        <v>354155</v>
      </c>
      <c r="N85" s="85"/>
      <c r="O85" s="85">
        <f>ROUND(VLOOKUP(A85,'Contribution Allocation_Report'!$A$9:$D$314,4,FALSE)*'OPEB Amounts_Report'!$O$326,0)</f>
        <v>-94170</v>
      </c>
      <c r="P85" s="85">
        <f>INDEX('Change in Proportion Layers'!$AD$8:$AD$324,MATCH('OPEB Amounts_Report'!A85,'Change in Proportion Layers'!$A$8:$A$324,0))</f>
        <v>2317</v>
      </c>
      <c r="Q85" s="85">
        <f t="shared" si="5"/>
        <v>-91853</v>
      </c>
    </row>
    <row r="86" spans="1:17" ht="12" customHeight="1">
      <c r="A86" s="59">
        <v>2363</v>
      </c>
      <c r="B86" s="63" t="s">
        <v>75</v>
      </c>
      <c r="C86" s="67">
        <f>ROUND(VLOOKUP(A86,'Contribution Allocation_Report'!$A$9:$D$314,4,FALSE)*'OPEB Amounts_Report'!$C$326,0)</f>
        <v>525824</v>
      </c>
      <c r="D86" s="67">
        <f>ROUND(VLOOKUP(A86,'Contribution Allocation_Report'!$A$9:$D$314,4,FALSE)*'OPEB Amounts_Report'!$D$326,0)</f>
        <v>5635</v>
      </c>
      <c r="E86" s="67">
        <f>ROUND(VLOOKUP(A86,'Contribution Allocation_Report'!$A$9:$D$314,4,FALSE)*'OPEB Amounts_Report'!$E$326,0)</f>
        <v>4700</v>
      </c>
      <c r="F86" s="67">
        <f>ROUND(VLOOKUP(A86,'Contribution Allocation_Report'!$A$9:$D$314,4,FALSE)*'OPEB Amounts_Report'!$F$326,0)</f>
        <v>98395</v>
      </c>
      <c r="G86" s="67">
        <f>INDEX('Change in Proportion Layers'!$AF$8:$AF$324,MATCH('OPEB Amounts_Report'!A86,'Change in Proportion Layers'!$A$8:$A$324,0))</f>
        <v>34046</v>
      </c>
      <c r="H86" s="67">
        <f t="shared" si="4"/>
        <v>142776</v>
      </c>
      <c r="I86" s="67"/>
      <c r="J86" s="67">
        <f>ROUND(VLOOKUP(A86,'Contribution Allocation_Report'!$A$9:$D$314,4,FALSE)*'OPEB Amounts_Report'!$J$326,0)</f>
        <v>54925</v>
      </c>
      <c r="K86" s="67">
        <f>ROUND(VLOOKUP(A86,'Contribution Allocation_Report'!$A$9:$D$314,4,FALSE)*'OPEB Amounts_Report'!$K$326,0)</f>
        <v>333444</v>
      </c>
      <c r="L86" s="250">
        <f>INDEX('Change in Proportion Layers'!$AG$8:$AG$324,MATCH('OPEB Amounts_Report'!A86,'Change in Proportion Layers'!$A$8:$A$324,0))</f>
        <v>26621</v>
      </c>
      <c r="M86" s="67">
        <f t="shared" si="3"/>
        <v>414990</v>
      </c>
      <c r="N86" s="68"/>
      <c r="O86" s="68">
        <f>ROUND(VLOOKUP(A86,'Contribution Allocation_Report'!$A$9:$D$314,4,FALSE)*'OPEB Amounts_Report'!$O$326,0)</f>
        <v>-107035</v>
      </c>
      <c r="P86" s="68">
        <f>INDEX('Change in Proportion Layers'!$AD$8:$AD$324,MATCH('OPEB Amounts_Report'!A86,'Change in Proportion Layers'!$A$8:$A$324,0))</f>
        <v>5198</v>
      </c>
      <c r="Q86" s="68">
        <f t="shared" si="5"/>
        <v>-101837</v>
      </c>
    </row>
    <row r="87" spans="1:17" ht="12" customHeight="1">
      <c r="A87" s="227">
        <v>2364</v>
      </c>
      <c r="B87" s="228" t="s">
        <v>76</v>
      </c>
      <c r="C87" s="84">
        <f>ROUND(VLOOKUP(A87,'Contribution Allocation_Report'!$A$9:$D$314,4,FALSE)*'OPEB Amounts_Report'!$C$326,0)</f>
        <v>1712745</v>
      </c>
      <c r="D87" s="84">
        <f>ROUND(VLOOKUP(A87,'Contribution Allocation_Report'!$A$9:$D$314,4,FALSE)*'OPEB Amounts_Report'!$D$326,0)</f>
        <v>18356</v>
      </c>
      <c r="E87" s="84">
        <f>ROUND(VLOOKUP(A87,'Contribution Allocation_Report'!$A$9:$D$314,4,FALSE)*'OPEB Amounts_Report'!$E$326,0)</f>
        <v>15310</v>
      </c>
      <c r="F87" s="84">
        <f>ROUND(VLOOKUP(A87,'Contribution Allocation_Report'!$A$9:$D$314,4,FALSE)*'OPEB Amounts_Report'!$F$326,0)</f>
        <v>320498</v>
      </c>
      <c r="G87" s="84">
        <f>INDEX('Change in Proportion Layers'!$AF$8:$AF$324,MATCH('OPEB Amounts_Report'!A87,'Change in Proportion Layers'!$A$8:$A$324,0))</f>
        <v>572784</v>
      </c>
      <c r="H87" s="84">
        <f t="shared" si="4"/>
        <v>926948</v>
      </c>
      <c r="I87" s="84"/>
      <c r="J87" s="84">
        <f>ROUND(VLOOKUP(A87,'Contribution Allocation_Report'!$A$9:$D$314,4,FALSE)*'OPEB Amounts_Report'!$J$326,0)</f>
        <v>178904</v>
      </c>
      <c r="K87" s="84">
        <f>ROUND(VLOOKUP(A87,'Contribution Allocation_Report'!$A$9:$D$314,4,FALSE)*'OPEB Amounts_Report'!$K$326,0)</f>
        <v>1086115</v>
      </c>
      <c r="L87" s="84">
        <f>INDEX('Change in Proportion Layers'!$AG$8:$AG$324,MATCH('OPEB Amounts_Report'!A87,'Change in Proportion Layers'!$A$8:$A$324,0))</f>
        <v>0</v>
      </c>
      <c r="M87" s="84">
        <f t="shared" si="3"/>
        <v>1265019</v>
      </c>
      <c r="N87" s="85"/>
      <c r="O87" s="85">
        <f>ROUND(VLOOKUP(A87,'Contribution Allocation_Report'!$A$9:$D$314,4,FALSE)*'OPEB Amounts_Report'!$O$326,0)</f>
        <v>-348641</v>
      </c>
      <c r="P87" s="85">
        <f>INDEX('Change in Proportion Layers'!$AD$8:$AD$324,MATCH('OPEB Amounts_Report'!A87,'Change in Proportion Layers'!$A$8:$A$324,0))</f>
        <v>200942</v>
      </c>
      <c r="Q87" s="85">
        <f t="shared" si="5"/>
        <v>-147699</v>
      </c>
    </row>
    <row r="88" spans="1:17" ht="12" customHeight="1">
      <c r="A88" s="59">
        <v>25319</v>
      </c>
      <c r="B88" s="63" t="s">
        <v>77</v>
      </c>
      <c r="C88" s="67">
        <f>ROUND(VLOOKUP(A88,'Contribution Allocation_Report'!$A$9:$D$314,4,FALSE)*'OPEB Amounts_Report'!$C$326,0)</f>
        <v>343603</v>
      </c>
      <c r="D88" s="67">
        <f>ROUND(VLOOKUP(A88,'Contribution Allocation_Report'!$A$9:$D$314,4,FALSE)*'OPEB Amounts_Report'!$D$326,0)</f>
        <v>3682</v>
      </c>
      <c r="E88" s="67">
        <f>ROUND(VLOOKUP(A88,'Contribution Allocation_Report'!$A$9:$D$314,4,FALSE)*'OPEB Amounts_Report'!$E$326,0)</f>
        <v>3071</v>
      </c>
      <c r="F88" s="67">
        <f>ROUND(VLOOKUP(A88,'Contribution Allocation_Report'!$A$9:$D$314,4,FALSE)*'OPEB Amounts_Report'!$F$326,0)</f>
        <v>64297</v>
      </c>
      <c r="G88" s="67">
        <f>INDEX('Change in Proportion Layers'!$AF$8:$AF$324,MATCH('OPEB Amounts_Report'!A88,'Change in Proportion Layers'!$A$8:$A$324,0))</f>
        <v>41867</v>
      </c>
      <c r="H88" s="67">
        <f t="shared" si="4"/>
        <v>112917</v>
      </c>
      <c r="I88" s="67"/>
      <c r="J88" s="67">
        <f>ROUND(VLOOKUP(A88,'Contribution Allocation_Report'!$A$9:$D$314,4,FALSE)*'OPEB Amounts_Report'!$J$326,0)</f>
        <v>35891</v>
      </c>
      <c r="K88" s="67">
        <f>ROUND(VLOOKUP(A88,'Contribution Allocation_Report'!$A$9:$D$314,4,FALSE)*'OPEB Amounts_Report'!$K$326,0)</f>
        <v>217891</v>
      </c>
      <c r="L88" s="67">
        <f>INDEX('Change in Proportion Layers'!$AG$8:$AG$324,MATCH('OPEB Amounts_Report'!A88,'Change in Proportion Layers'!$A$8:$A$324,0))</f>
        <v>104957</v>
      </c>
      <c r="M88" s="67">
        <f t="shared" si="3"/>
        <v>358739</v>
      </c>
      <c r="N88" s="68"/>
      <c r="O88" s="68">
        <f>ROUND(VLOOKUP(A88,'Contribution Allocation_Report'!$A$9:$D$314,4,FALSE)*'OPEB Amounts_Report'!$O$326,0)</f>
        <v>-69943</v>
      </c>
      <c r="P88" s="68">
        <f>INDEX('Change in Proportion Layers'!$AD$8:$AD$324,MATCH('OPEB Amounts_Report'!A88,'Change in Proportion Layers'!$A$8:$A$324,0))</f>
        <v>-1242</v>
      </c>
      <c r="Q88" s="68">
        <f t="shared" si="5"/>
        <v>-71185</v>
      </c>
    </row>
    <row r="89" spans="1:17" ht="12" customHeight="1">
      <c r="A89" s="227">
        <v>29087</v>
      </c>
      <c r="B89" s="228" t="s">
        <v>78</v>
      </c>
      <c r="C89" s="84">
        <f>ROUND(VLOOKUP(A89,'Contribution Allocation_Report'!$A$9:$D$314,4,FALSE)*'OPEB Amounts_Report'!$C$326,0)</f>
        <v>3434025</v>
      </c>
      <c r="D89" s="84">
        <f>ROUND(VLOOKUP(A89,'Contribution Allocation_Report'!$A$9:$D$314,4,FALSE)*'OPEB Amounts_Report'!$D$326,0)</f>
        <v>36803</v>
      </c>
      <c r="E89" s="84">
        <f>ROUND(VLOOKUP(A89,'Contribution Allocation_Report'!$A$9:$D$314,4,FALSE)*'OPEB Amounts_Report'!$E$326,0)</f>
        <v>30697</v>
      </c>
      <c r="F89" s="84">
        <f>ROUND(VLOOKUP(A89,'Contribution Allocation_Report'!$A$9:$D$314,4,FALSE)*'OPEB Amounts_Report'!$F$326,0)</f>
        <v>642592</v>
      </c>
      <c r="G89" s="84">
        <f>INDEX('Change in Proportion Layers'!$AF$8:$AF$324,MATCH('OPEB Amounts_Report'!A89,'Change in Proportion Layers'!$A$8:$A$324,0))</f>
        <v>1593357</v>
      </c>
      <c r="H89" s="84">
        <f t="shared" si="4"/>
        <v>2303449</v>
      </c>
      <c r="I89" s="84"/>
      <c r="J89" s="84">
        <f>ROUND(VLOOKUP(A89,'Contribution Allocation_Report'!$A$9:$D$314,4,FALSE)*'OPEB Amounts_Report'!$J$326,0)</f>
        <v>358699</v>
      </c>
      <c r="K89" s="84">
        <f>ROUND(VLOOKUP(A89,'Contribution Allocation_Report'!$A$9:$D$314,4,FALSE)*'OPEB Amounts_Report'!$K$326,0)</f>
        <v>2177642</v>
      </c>
      <c r="L89" s="84">
        <f>INDEX('Change in Proportion Layers'!$AG$8:$AG$324,MATCH('OPEB Amounts_Report'!A89,'Change in Proportion Layers'!$A$8:$A$324,0))</f>
        <v>79056</v>
      </c>
      <c r="M89" s="84">
        <f t="shared" si="3"/>
        <v>2615397</v>
      </c>
      <c r="N89" s="85"/>
      <c r="O89" s="85">
        <f>ROUND(VLOOKUP(A89,'Contribution Allocation_Report'!$A$9:$D$314,4,FALSE)*'OPEB Amounts_Report'!$O$326,0)</f>
        <v>-699019</v>
      </c>
      <c r="P89" s="85">
        <f>INDEX('Change in Proportion Layers'!$AD$8:$AD$324,MATCH('OPEB Amounts_Report'!A89,'Change in Proportion Layers'!$A$8:$A$324,0))</f>
        <v>572281</v>
      </c>
      <c r="Q89" s="85">
        <f t="shared" si="5"/>
        <v>-126738</v>
      </c>
    </row>
    <row r="90" spans="1:17" ht="12" customHeight="1">
      <c r="A90" s="59">
        <v>3060</v>
      </c>
      <c r="B90" s="63" t="s">
        <v>79</v>
      </c>
      <c r="C90" s="67">
        <f>ROUND(VLOOKUP(A90,'Contribution Allocation_Report'!$A$9:$D$314,4,FALSE)*'OPEB Amounts_Report'!$C$326,0)</f>
        <v>1995192</v>
      </c>
      <c r="D90" s="67">
        <f>ROUND(VLOOKUP(A90,'Contribution Allocation_Report'!$A$9:$D$314,4,FALSE)*'OPEB Amounts_Report'!$D$326,0)</f>
        <v>21383</v>
      </c>
      <c r="E90" s="67">
        <f>ROUND(VLOOKUP(A90,'Contribution Allocation_Report'!$A$9:$D$314,4,FALSE)*'OPEB Amounts_Report'!$E$326,0)</f>
        <v>17835</v>
      </c>
      <c r="F90" s="67">
        <f>ROUND(VLOOKUP(A90,'Contribution Allocation_Report'!$A$9:$D$314,4,FALSE)*'OPEB Amounts_Report'!$F$326,0)</f>
        <v>373350</v>
      </c>
      <c r="G90" s="67">
        <f>INDEX('Change in Proportion Layers'!$AF$8:$AF$324,MATCH('OPEB Amounts_Report'!A90,'Change in Proportion Layers'!$A$8:$A$324,0))</f>
        <v>7323</v>
      </c>
      <c r="H90" s="67">
        <f t="shared" si="4"/>
        <v>419891</v>
      </c>
      <c r="I90" s="67"/>
      <c r="J90" s="67">
        <f>ROUND(VLOOKUP(A90,'Contribution Allocation_Report'!$A$9:$D$314,4,FALSE)*'OPEB Amounts_Report'!$J$326,0)</f>
        <v>208407</v>
      </c>
      <c r="K90" s="67">
        <f>ROUND(VLOOKUP(A90,'Contribution Allocation_Report'!$A$9:$D$314,4,FALSE)*'OPEB Amounts_Report'!$K$326,0)</f>
        <v>1265225</v>
      </c>
      <c r="L90" s="67">
        <f>INDEX('Change in Proportion Layers'!$AG$8:$AG$324,MATCH('OPEB Amounts_Report'!A90,'Change in Proportion Layers'!$A$8:$A$324,0))</f>
        <v>358593</v>
      </c>
      <c r="M90" s="67">
        <f t="shared" si="3"/>
        <v>1832225</v>
      </c>
      <c r="N90" s="68"/>
      <c r="O90" s="68">
        <f>ROUND(VLOOKUP(A90,'Contribution Allocation_Report'!$A$9:$D$314,4,FALSE)*'OPEB Amounts_Report'!$O$326,0)</f>
        <v>-406135</v>
      </c>
      <c r="P90" s="68">
        <f>INDEX('Change in Proportion Layers'!$AD$8:$AD$324,MATCH('OPEB Amounts_Report'!A90,'Change in Proportion Layers'!$A$8:$A$324,0))</f>
        <v>-202243</v>
      </c>
      <c r="Q90" s="68">
        <f t="shared" si="5"/>
        <v>-608378</v>
      </c>
    </row>
    <row r="91" spans="1:17" ht="12" customHeight="1">
      <c r="A91" s="227">
        <v>19301</v>
      </c>
      <c r="B91" s="228" t="s">
        <v>80</v>
      </c>
      <c r="C91" s="84">
        <f>ROUND(VLOOKUP(A91,'Contribution Allocation_Report'!$A$9:$D$314,4,FALSE)*'OPEB Amounts_Report'!$C$326,0)</f>
        <v>392707</v>
      </c>
      <c r="D91" s="84">
        <f>ROUND(VLOOKUP(A91,'Contribution Allocation_Report'!$A$9:$D$314,4,FALSE)*'OPEB Amounts_Report'!$D$326,0)</f>
        <v>4209</v>
      </c>
      <c r="E91" s="84">
        <f>ROUND(VLOOKUP(A91,'Contribution Allocation_Report'!$A$9:$D$314,4,FALSE)*'OPEB Amounts_Report'!$E$326,0)</f>
        <v>3510</v>
      </c>
      <c r="F91" s="84">
        <f>ROUND(VLOOKUP(A91,'Contribution Allocation_Report'!$A$9:$D$314,4,FALSE)*'OPEB Amounts_Report'!$F$326,0)</f>
        <v>73485</v>
      </c>
      <c r="G91" s="84">
        <f>INDEX('Change in Proportion Layers'!$AF$8:$AF$324,MATCH('OPEB Amounts_Report'!A91,'Change in Proportion Layers'!$A$8:$A$324,0))</f>
        <v>95560</v>
      </c>
      <c r="H91" s="84">
        <f t="shared" si="4"/>
        <v>176764</v>
      </c>
      <c r="I91" s="84"/>
      <c r="J91" s="84">
        <f>ROUND(VLOOKUP(A91,'Contribution Allocation_Report'!$A$9:$D$314,4,FALSE)*'OPEB Amounts_Report'!$J$326,0)</f>
        <v>41020</v>
      </c>
      <c r="K91" s="84">
        <f>ROUND(VLOOKUP(A91,'Contribution Allocation_Report'!$A$9:$D$314,4,FALSE)*'OPEB Amounts_Report'!$K$326,0)</f>
        <v>249030</v>
      </c>
      <c r="L91" s="251">
        <f>INDEX('Change in Proportion Layers'!$AG$8:$AG$324,MATCH('OPEB Amounts_Report'!A91,'Change in Proportion Layers'!$A$8:$A$324,0))</f>
        <v>29370</v>
      </c>
      <c r="M91" s="84">
        <f t="shared" si="3"/>
        <v>319420</v>
      </c>
      <c r="N91" s="85"/>
      <c r="O91" s="85">
        <f>ROUND(VLOOKUP(A91,'Contribution Allocation_Report'!$A$9:$D$314,4,FALSE)*'OPEB Amounts_Report'!$O$326,0)</f>
        <v>-79938</v>
      </c>
      <c r="P91" s="85">
        <f>INDEX('Change in Proportion Layers'!$AD$8:$AD$324,MATCH('OPEB Amounts_Report'!A91,'Change in Proportion Layers'!$A$8:$A$324,0))</f>
        <v>-3446</v>
      </c>
      <c r="Q91" s="85">
        <f t="shared" si="5"/>
        <v>-83384</v>
      </c>
    </row>
    <row r="92" spans="1:17" ht="12" customHeight="1">
      <c r="A92" s="59">
        <v>19059</v>
      </c>
      <c r="B92" s="63" t="s">
        <v>81</v>
      </c>
      <c r="C92" s="67">
        <f>ROUND(VLOOKUP(A92,'Contribution Allocation_Report'!$A$9:$D$314,4,FALSE)*'OPEB Amounts_Report'!$C$326,0)</f>
        <v>12557965</v>
      </c>
      <c r="D92" s="67">
        <f>ROUND(VLOOKUP(A92,'Contribution Allocation_Report'!$A$9:$D$314,4,FALSE)*'OPEB Amounts_Report'!$D$326,0)</f>
        <v>134584</v>
      </c>
      <c r="E92" s="67">
        <f>ROUND(VLOOKUP(A92,'Contribution Allocation_Report'!$A$9:$D$314,4,FALSE)*'OPEB Amounts_Report'!$E$326,0)</f>
        <v>112256</v>
      </c>
      <c r="F92" s="67">
        <f>ROUND(VLOOKUP(A92,'Contribution Allocation_Report'!$A$9:$D$314,4,FALSE)*'OPEB Amounts_Report'!$F$326,0)</f>
        <v>2349910</v>
      </c>
      <c r="G92" s="67">
        <f>INDEX('Change in Proportion Layers'!$AF$8:$AF$324,MATCH('OPEB Amounts_Report'!A92,'Change in Proportion Layers'!$A$8:$A$324,0))</f>
        <v>1675569</v>
      </c>
      <c r="H92" s="67">
        <f t="shared" si="4"/>
        <v>4272319</v>
      </c>
      <c r="I92" s="67"/>
      <c r="J92" s="67">
        <f>ROUND(VLOOKUP(A92,'Contribution Allocation_Report'!$A$9:$D$314,4,FALSE)*'OPEB Amounts_Report'!$J$326,0)</f>
        <v>1311734</v>
      </c>
      <c r="K92" s="67">
        <f>ROUND(VLOOKUP(A92,'Contribution Allocation_Report'!$A$9:$D$314,4,FALSE)*'OPEB Amounts_Report'!$K$326,0)</f>
        <v>7963470</v>
      </c>
      <c r="L92" s="250">
        <f>INDEX('Change in Proportion Layers'!$AG$8:$AG$324,MATCH('OPEB Amounts_Report'!A92,'Change in Proportion Layers'!$A$8:$A$324,0))</f>
        <v>1656380</v>
      </c>
      <c r="M92" s="67">
        <f t="shared" si="3"/>
        <v>10931584</v>
      </c>
      <c r="N92" s="68"/>
      <c r="O92" s="68">
        <f>ROUND(VLOOKUP(A92,'Contribution Allocation_Report'!$A$9:$D$314,4,FALSE)*'OPEB Amounts_Report'!$O$326,0)</f>
        <v>-2556257</v>
      </c>
      <c r="P92" s="68">
        <f>INDEX('Change in Proportion Layers'!$AD$8:$AD$324,MATCH('OPEB Amounts_Report'!A92,'Change in Proportion Layers'!$A$8:$A$324,0))</f>
        <v>560202</v>
      </c>
      <c r="Q92" s="68">
        <f t="shared" si="5"/>
        <v>-1996055</v>
      </c>
    </row>
    <row r="93" spans="1:17" ht="12" customHeight="1">
      <c r="A93" s="227">
        <v>18057</v>
      </c>
      <c r="B93" s="228" t="s">
        <v>82</v>
      </c>
      <c r="C93" s="84">
        <f>ROUND(VLOOKUP(A93,'Contribution Allocation_Report'!$A$9:$D$314,4,FALSE)*'OPEB Amounts_Report'!$C$326,0)</f>
        <v>532242</v>
      </c>
      <c r="D93" s="84">
        <f>ROUND(VLOOKUP(A93,'Contribution Allocation_Report'!$A$9:$D$314,4,FALSE)*'OPEB Amounts_Report'!$D$326,0)</f>
        <v>5704</v>
      </c>
      <c r="E93" s="84">
        <f>ROUND(VLOOKUP(A93,'Contribution Allocation_Report'!$A$9:$D$314,4,FALSE)*'OPEB Amounts_Report'!$E$326,0)</f>
        <v>4758</v>
      </c>
      <c r="F93" s="84">
        <f>ROUND(VLOOKUP(A93,'Contribution Allocation_Report'!$A$9:$D$314,4,FALSE)*'OPEB Amounts_Report'!$F$326,0)</f>
        <v>99596</v>
      </c>
      <c r="G93" s="84">
        <f>INDEX('Change in Proportion Layers'!$AF$8:$AF$324,MATCH('OPEB Amounts_Report'!A93,'Change in Proportion Layers'!$A$8:$A$324,0))</f>
        <v>109032</v>
      </c>
      <c r="H93" s="84">
        <f t="shared" si="4"/>
        <v>219090</v>
      </c>
      <c r="I93" s="84"/>
      <c r="J93" s="84">
        <f>ROUND(VLOOKUP(A93,'Contribution Allocation_Report'!$A$9:$D$314,4,FALSE)*'OPEB Amounts_Report'!$J$326,0)</f>
        <v>55595</v>
      </c>
      <c r="K93" s="84">
        <f>ROUND(VLOOKUP(A93,'Contribution Allocation_Report'!$A$9:$D$314,4,FALSE)*'OPEB Amounts_Report'!$K$326,0)</f>
        <v>337514</v>
      </c>
      <c r="L93" s="84">
        <f>INDEX('Change in Proportion Layers'!$AG$8:$AG$324,MATCH('OPEB Amounts_Report'!A93,'Change in Proportion Layers'!$A$8:$A$324,0))</f>
        <v>6734</v>
      </c>
      <c r="M93" s="84">
        <f t="shared" si="3"/>
        <v>399843</v>
      </c>
      <c r="N93" s="85"/>
      <c r="O93" s="85">
        <f>ROUND(VLOOKUP(A93,'Contribution Allocation_Report'!$A$9:$D$314,4,FALSE)*'OPEB Amounts_Report'!$O$326,0)</f>
        <v>-108341</v>
      </c>
      <c r="P93" s="85">
        <f>INDEX('Change in Proportion Layers'!$AD$8:$AD$324,MATCH('OPEB Amounts_Report'!A93,'Change in Proportion Layers'!$A$8:$A$324,0))</f>
        <v>19575</v>
      </c>
      <c r="Q93" s="85">
        <f t="shared" si="5"/>
        <v>-88766</v>
      </c>
    </row>
    <row r="94" spans="1:17" ht="12" customHeight="1">
      <c r="A94" s="59">
        <v>4008</v>
      </c>
      <c r="B94" s="63" t="s">
        <v>83</v>
      </c>
      <c r="C94" s="67">
        <f>ROUND(VLOOKUP(A94,'Contribution Allocation_Report'!$A$9:$D$314,4,FALSE)*'OPEB Amounts_Report'!$C$326,0)</f>
        <v>2099595</v>
      </c>
      <c r="D94" s="67">
        <f>ROUND(VLOOKUP(A94,'Contribution Allocation_Report'!$A$9:$D$314,4,FALSE)*'OPEB Amounts_Report'!$D$326,0)</f>
        <v>22501</v>
      </c>
      <c r="E94" s="67">
        <f>ROUND(VLOOKUP(A94,'Contribution Allocation_Report'!$A$9:$D$314,4,FALSE)*'OPEB Amounts_Report'!$E$326,0)</f>
        <v>18768</v>
      </c>
      <c r="F94" s="67">
        <f>ROUND(VLOOKUP(A94,'Contribution Allocation_Report'!$A$9:$D$314,4,FALSE)*'OPEB Amounts_Report'!$F$326,0)</f>
        <v>392887</v>
      </c>
      <c r="G94" s="67">
        <f>INDEX('Change in Proportion Layers'!$AF$8:$AF$324,MATCH('OPEB Amounts_Report'!A94,'Change in Proportion Layers'!$A$8:$A$324,0))</f>
        <v>415526</v>
      </c>
      <c r="H94" s="67">
        <f t="shared" si="4"/>
        <v>849682</v>
      </c>
      <c r="I94" s="67"/>
      <c r="J94" s="67">
        <f>ROUND(VLOOKUP(A94,'Contribution Allocation_Report'!$A$9:$D$314,4,FALSE)*'OPEB Amounts_Report'!$J$326,0)</f>
        <v>219312</v>
      </c>
      <c r="K94" s="67">
        <f>ROUND(VLOOKUP(A94,'Contribution Allocation_Report'!$A$9:$D$314,4,FALSE)*'OPEB Amounts_Report'!$K$326,0)</f>
        <v>1331431</v>
      </c>
      <c r="L94" s="67">
        <f>INDEX('Change in Proportion Layers'!$AG$8:$AG$324,MATCH('OPEB Amounts_Report'!A94,'Change in Proportion Layers'!$A$8:$A$324,0))</f>
        <v>377750</v>
      </c>
      <c r="M94" s="67">
        <f t="shared" si="3"/>
        <v>1928493</v>
      </c>
      <c r="N94" s="68"/>
      <c r="O94" s="68">
        <f>ROUND(VLOOKUP(A94,'Contribution Allocation_Report'!$A$9:$D$314,4,FALSE)*'OPEB Amounts_Report'!$O$326,0)</f>
        <v>-427386</v>
      </c>
      <c r="P94" s="68">
        <f>INDEX('Change in Proportion Layers'!$AD$8:$AD$324,MATCH('OPEB Amounts_Report'!A94,'Change in Proportion Layers'!$A$8:$A$324,0))</f>
        <v>-42765</v>
      </c>
      <c r="Q94" s="68">
        <f t="shared" si="5"/>
        <v>-470151</v>
      </c>
    </row>
    <row r="95" spans="1:17" ht="12" customHeight="1">
      <c r="A95" s="227">
        <v>2350</v>
      </c>
      <c r="B95" s="228" t="s">
        <v>84</v>
      </c>
      <c r="C95" s="84">
        <f>ROUND(VLOOKUP(A95,'Contribution Allocation_Report'!$A$9:$D$314,4,FALSE)*'OPEB Amounts_Report'!$C$326,0)</f>
        <v>691130</v>
      </c>
      <c r="D95" s="84">
        <f>ROUND(VLOOKUP(A95,'Contribution Allocation_Report'!$A$9:$D$314,4,FALSE)*'OPEB Amounts_Report'!$D$326,0)</f>
        <v>7407</v>
      </c>
      <c r="E95" s="84">
        <f>ROUND(VLOOKUP(A95,'Contribution Allocation_Report'!$A$9:$D$314,4,FALSE)*'OPEB Amounts_Report'!$E$326,0)</f>
        <v>6178</v>
      </c>
      <c r="F95" s="84">
        <f>ROUND(VLOOKUP(A95,'Contribution Allocation_Report'!$A$9:$D$314,4,FALSE)*'OPEB Amounts_Report'!$F$326,0)</f>
        <v>129328</v>
      </c>
      <c r="G95" s="84">
        <f>INDEX('Change in Proportion Layers'!$AF$8:$AF$324,MATCH('OPEB Amounts_Report'!A95,'Change in Proportion Layers'!$A$8:$A$324,0))</f>
        <v>148953</v>
      </c>
      <c r="H95" s="84">
        <f t="shared" si="4"/>
        <v>291866</v>
      </c>
      <c r="I95" s="84"/>
      <c r="J95" s="84">
        <f>ROUND(VLOOKUP(A95,'Contribution Allocation_Report'!$A$9:$D$314,4,FALSE)*'OPEB Amounts_Report'!$J$326,0)</f>
        <v>72192</v>
      </c>
      <c r="K95" s="84">
        <f>ROUND(VLOOKUP(A95,'Contribution Allocation_Report'!$A$9:$D$314,4,FALSE)*'OPEB Amounts_Report'!$K$326,0)</f>
        <v>438271</v>
      </c>
      <c r="L95" s="251">
        <f>INDEX('Change in Proportion Layers'!$AG$8:$AG$324,MATCH('OPEB Amounts_Report'!A95,'Change in Proportion Layers'!$A$8:$A$324,0))</f>
        <v>88840</v>
      </c>
      <c r="M95" s="84">
        <f t="shared" si="3"/>
        <v>599303</v>
      </c>
      <c r="N95" s="85"/>
      <c r="O95" s="85">
        <f>ROUND(VLOOKUP(A95,'Contribution Allocation_Report'!$A$9:$D$314,4,FALSE)*'OPEB Amounts_Report'!$O$326,0)</f>
        <v>-140684</v>
      </c>
      <c r="P95" s="85">
        <f>INDEX('Change in Proportion Layers'!$AD$8:$AD$324,MATCH('OPEB Amounts_Report'!A95,'Change in Proportion Layers'!$A$8:$A$324,0))</f>
        <v>49408</v>
      </c>
      <c r="Q95" s="85">
        <f t="shared" si="5"/>
        <v>-91276</v>
      </c>
    </row>
    <row r="96" spans="1:17" ht="12" customHeight="1">
      <c r="A96" s="59">
        <v>11117</v>
      </c>
      <c r="B96" s="63" t="s">
        <v>85</v>
      </c>
      <c r="C96" s="67">
        <f>ROUND(VLOOKUP(A96,'Contribution Allocation_Report'!$A$9:$D$314,4,FALSE)*'OPEB Amounts_Report'!$C$326,0)</f>
        <v>661168</v>
      </c>
      <c r="D96" s="67">
        <f>ROUND(VLOOKUP(A96,'Contribution Allocation_Report'!$A$9:$D$314,4,FALSE)*'OPEB Amounts_Report'!$D$326,0)</f>
        <v>7086</v>
      </c>
      <c r="E96" s="67">
        <f>ROUND(VLOOKUP(A96,'Contribution Allocation_Report'!$A$9:$D$314,4,FALSE)*'OPEB Amounts_Report'!$E$326,0)</f>
        <v>5910</v>
      </c>
      <c r="F96" s="67">
        <f>ROUND(VLOOKUP(A96,'Contribution Allocation_Report'!$A$9:$D$314,4,FALSE)*'OPEB Amounts_Report'!$F$326,0)</f>
        <v>123721</v>
      </c>
      <c r="G96" s="250">
        <f>INDEX('Change in Proportion Layers'!$AF$8:$AF$324,MATCH('OPEB Amounts_Report'!A96,'Change in Proportion Layers'!$A$8:$A$324,0))</f>
        <v>17278</v>
      </c>
      <c r="H96" s="67">
        <f t="shared" si="4"/>
        <v>153995</v>
      </c>
      <c r="I96" s="67"/>
      <c r="J96" s="67">
        <f>ROUND(VLOOKUP(A96,'Contribution Allocation_Report'!$A$9:$D$314,4,FALSE)*'OPEB Amounts_Report'!$J$326,0)</f>
        <v>69062</v>
      </c>
      <c r="K96" s="67">
        <f>ROUND(VLOOKUP(A96,'Contribution Allocation_Report'!$A$9:$D$314,4,FALSE)*'OPEB Amounts_Report'!$K$326,0)</f>
        <v>419271</v>
      </c>
      <c r="L96" s="250">
        <f>INDEX('Change in Proportion Layers'!$AG$8:$AG$324,MATCH('OPEB Amounts_Report'!A96,'Change in Proportion Layers'!$A$8:$A$324,0))</f>
        <v>149291</v>
      </c>
      <c r="M96" s="67">
        <f t="shared" si="3"/>
        <v>637624</v>
      </c>
      <c r="N96" s="68"/>
      <c r="O96" s="68">
        <f>ROUND(VLOOKUP(A96,'Contribution Allocation_Report'!$A$9:$D$314,4,FALSE)*'OPEB Amounts_Report'!$O$326,0)</f>
        <v>-134585</v>
      </c>
      <c r="P96" s="68">
        <f>INDEX('Change in Proportion Layers'!$AD$8:$AD$324,MATCH('OPEB Amounts_Report'!A96,'Change in Proportion Layers'!$A$8:$A$324,0))</f>
        <v>-35158</v>
      </c>
      <c r="Q96" s="68">
        <f t="shared" si="5"/>
        <v>-169743</v>
      </c>
    </row>
    <row r="97" spans="1:17" ht="12" customHeight="1">
      <c r="A97" s="227">
        <v>16359</v>
      </c>
      <c r="B97" s="228" t="s">
        <v>86</v>
      </c>
      <c r="C97" s="84">
        <f>ROUND(VLOOKUP(A97,'Contribution Allocation_Report'!$A$9:$D$314,4,FALSE)*'OPEB Amounts_Report'!$C$326,0)</f>
        <v>143655</v>
      </c>
      <c r="D97" s="84">
        <f>ROUND(VLOOKUP(A97,'Contribution Allocation_Report'!$A$9:$D$314,4,FALSE)*'OPEB Amounts_Report'!$D$326,0)</f>
        <v>1540</v>
      </c>
      <c r="E97" s="84">
        <f>ROUND(VLOOKUP(A97,'Contribution Allocation_Report'!$A$9:$D$314,4,FALSE)*'OPEB Amounts_Report'!$E$326,0)</f>
        <v>1284</v>
      </c>
      <c r="F97" s="84">
        <f>ROUND(VLOOKUP(A97,'Contribution Allocation_Report'!$A$9:$D$314,4,FALSE)*'OPEB Amounts_Report'!$F$326,0)</f>
        <v>26881</v>
      </c>
      <c r="G97" s="84">
        <f>INDEX('Change in Proportion Layers'!$AF$8:$AF$324,MATCH('OPEB Amounts_Report'!A97,'Change in Proportion Layers'!$A$8:$A$324,0))</f>
        <v>117055</v>
      </c>
      <c r="H97" s="84">
        <f t="shared" si="4"/>
        <v>146760</v>
      </c>
      <c r="I97" s="84"/>
      <c r="J97" s="84">
        <f>ROUND(VLOOKUP(A97,'Contribution Allocation_Report'!$A$9:$D$314,4,FALSE)*'OPEB Amounts_Report'!$J$326,0)</f>
        <v>15005</v>
      </c>
      <c r="K97" s="84">
        <f>ROUND(VLOOKUP(A97,'Contribution Allocation_Report'!$A$9:$D$314,4,FALSE)*'OPEB Amounts_Report'!$K$326,0)</f>
        <v>91097</v>
      </c>
      <c r="L97" s="84">
        <f>INDEX('Change in Proportion Layers'!$AG$8:$AG$324,MATCH('OPEB Amounts_Report'!A97,'Change in Proportion Layers'!$A$8:$A$324,0))</f>
        <v>76788</v>
      </c>
      <c r="M97" s="84">
        <f t="shared" si="3"/>
        <v>182890</v>
      </c>
      <c r="N97" s="85"/>
      <c r="O97" s="85">
        <f>ROUND(VLOOKUP(A97,'Contribution Allocation_Report'!$A$9:$D$314,4,FALSE)*'OPEB Amounts_Report'!$O$326,0)</f>
        <v>-29242</v>
      </c>
      <c r="P97" s="85">
        <f>INDEX('Change in Proportion Layers'!$AD$8:$AD$324,MATCH('OPEB Amounts_Report'!A97,'Change in Proportion Layers'!$A$8:$A$324,0))</f>
        <v>16323</v>
      </c>
      <c r="Q97" s="85">
        <f t="shared" si="5"/>
        <v>-12919</v>
      </c>
    </row>
    <row r="98" spans="1:17" ht="12" customHeight="1">
      <c r="A98" s="59">
        <v>17115</v>
      </c>
      <c r="B98" s="63" t="s">
        <v>87</v>
      </c>
      <c r="C98" s="67">
        <f>ROUND(VLOOKUP(A98,'Contribution Allocation_Report'!$A$9:$D$314,4,FALSE)*'OPEB Amounts_Report'!$C$326,0)</f>
        <v>2554859</v>
      </c>
      <c r="D98" s="67">
        <f>ROUND(VLOOKUP(A98,'Contribution Allocation_Report'!$A$9:$D$314,4,FALSE)*'OPEB Amounts_Report'!$D$326,0)</f>
        <v>27381</v>
      </c>
      <c r="E98" s="67">
        <f>ROUND(VLOOKUP(A98,'Contribution Allocation_Report'!$A$9:$D$314,4,FALSE)*'OPEB Amounts_Report'!$E$326,0)</f>
        <v>22838</v>
      </c>
      <c r="F98" s="67">
        <f>ROUND(VLOOKUP(A98,'Contribution Allocation_Report'!$A$9:$D$314,4,FALSE)*'OPEB Amounts_Report'!$F$326,0)</f>
        <v>478078</v>
      </c>
      <c r="G98" s="67">
        <f>INDEX('Change in Proportion Layers'!$AF$8:$AF$324,MATCH('OPEB Amounts_Report'!A98,'Change in Proportion Layers'!$A$8:$A$324,0))</f>
        <v>544227</v>
      </c>
      <c r="H98" s="67">
        <f t="shared" si="4"/>
        <v>1072524</v>
      </c>
      <c r="I98" s="67"/>
      <c r="J98" s="67">
        <f>ROUND(VLOOKUP(A98,'Contribution Allocation_Report'!$A$9:$D$314,4,FALSE)*'OPEB Amounts_Report'!$J$326,0)</f>
        <v>266866</v>
      </c>
      <c r="K98" s="67">
        <f>ROUND(VLOOKUP(A98,'Contribution Allocation_Report'!$A$9:$D$314,4,FALSE)*'OPEB Amounts_Report'!$K$326,0)</f>
        <v>1620130</v>
      </c>
      <c r="L98" s="67">
        <f>INDEX('Change in Proportion Layers'!$AG$8:$AG$324,MATCH('OPEB Amounts_Report'!A98,'Change in Proportion Layers'!$A$8:$A$324,0))</f>
        <v>197723</v>
      </c>
      <c r="M98" s="67">
        <f t="shared" si="3"/>
        <v>2084719</v>
      </c>
      <c r="N98" s="68"/>
      <c r="O98" s="68">
        <f>ROUND(VLOOKUP(A98,'Contribution Allocation_Report'!$A$9:$D$314,4,FALSE)*'OPEB Amounts_Report'!$O$326,0)</f>
        <v>-520059</v>
      </c>
      <c r="P98" s="68">
        <f>INDEX('Change in Proportion Layers'!$AD$8:$AD$324,MATCH('OPEB Amounts_Report'!A98,'Change in Proportion Layers'!$A$8:$A$324,0))</f>
        <v>101342</v>
      </c>
      <c r="Q98" s="68">
        <f t="shared" si="5"/>
        <v>-418717</v>
      </c>
    </row>
    <row r="99" spans="1:17" ht="12" customHeight="1">
      <c r="A99" s="227">
        <v>32117</v>
      </c>
      <c r="B99" s="228" t="s">
        <v>88</v>
      </c>
      <c r="C99" s="84">
        <f>ROUND(VLOOKUP(A99,'Contribution Allocation_Report'!$A$9:$D$314,4,FALSE)*'OPEB Amounts_Report'!$C$326,0)</f>
        <v>204531</v>
      </c>
      <c r="D99" s="84">
        <f>ROUND(VLOOKUP(A99,'Contribution Allocation_Report'!$A$9:$D$314,4,FALSE)*'OPEB Amounts_Report'!$D$326,0)</f>
        <v>2192</v>
      </c>
      <c r="E99" s="84">
        <f>ROUND(VLOOKUP(A99,'Contribution Allocation_Report'!$A$9:$D$314,4,FALSE)*'OPEB Amounts_Report'!$E$326,0)</f>
        <v>1828</v>
      </c>
      <c r="F99" s="84">
        <f>ROUND(VLOOKUP(A99,'Contribution Allocation_Report'!$A$9:$D$314,4,FALSE)*'OPEB Amounts_Report'!$F$326,0)</f>
        <v>38273</v>
      </c>
      <c r="G99" s="84">
        <f>INDEX('Change in Proportion Layers'!$AF$8:$AF$324,MATCH('OPEB Amounts_Report'!A99,'Change in Proportion Layers'!$A$8:$A$324,0))</f>
        <v>109255</v>
      </c>
      <c r="H99" s="84">
        <f t="shared" si="4"/>
        <v>151548</v>
      </c>
      <c r="I99" s="84"/>
      <c r="J99" s="84">
        <f>ROUND(VLOOKUP(A99,'Contribution Allocation_Report'!$A$9:$D$314,4,FALSE)*'OPEB Amounts_Report'!$J$326,0)</f>
        <v>21364</v>
      </c>
      <c r="K99" s="84">
        <f>ROUND(VLOOKUP(A99,'Contribution Allocation_Report'!$A$9:$D$314,4,FALSE)*'OPEB Amounts_Report'!$K$326,0)</f>
        <v>129700</v>
      </c>
      <c r="L99" s="84">
        <f>INDEX('Change in Proportion Layers'!$AG$8:$AG$324,MATCH('OPEB Amounts_Report'!A99,'Change in Proportion Layers'!$A$8:$A$324,0))</f>
        <v>0</v>
      </c>
      <c r="M99" s="84">
        <f t="shared" si="3"/>
        <v>151064</v>
      </c>
      <c r="N99" s="85"/>
      <c r="O99" s="85">
        <f>ROUND(VLOOKUP(A99,'Contribution Allocation_Report'!$A$9:$D$314,4,FALSE)*'OPEB Amounts_Report'!$O$326,0)</f>
        <v>-41634</v>
      </c>
      <c r="P99" s="85">
        <f>INDEX('Change in Proportion Layers'!$AD$8:$AD$324,MATCH('OPEB Amounts_Report'!A99,'Change in Proportion Layers'!$A$8:$A$324,0))</f>
        <v>37191</v>
      </c>
      <c r="Q99" s="85">
        <f t="shared" si="5"/>
        <v>-4443</v>
      </c>
    </row>
    <row r="100" spans="1:17" ht="12" customHeight="1">
      <c r="A100" s="59">
        <v>2304</v>
      </c>
      <c r="B100" s="63" t="s">
        <v>89</v>
      </c>
      <c r="C100" s="67">
        <f>ROUND(VLOOKUP(A100,'Contribution Allocation_Report'!$A$9:$D$314,4,FALSE)*'OPEB Amounts_Report'!$C$326,0)</f>
        <v>905105</v>
      </c>
      <c r="D100" s="67">
        <f>ROUND(VLOOKUP(A100,'Contribution Allocation_Report'!$A$9:$D$314,4,FALSE)*'OPEB Amounts_Report'!$D$326,0)</f>
        <v>9700</v>
      </c>
      <c r="E100" s="67">
        <f>ROUND(VLOOKUP(A100,'Contribution Allocation_Report'!$A$9:$D$314,4,FALSE)*'OPEB Amounts_Report'!$E$326,0)</f>
        <v>8091</v>
      </c>
      <c r="F100" s="67">
        <f>ROUND(VLOOKUP(A100,'Contribution Allocation_Report'!$A$9:$D$314,4,FALSE)*'OPEB Amounts_Report'!$F$326,0)</f>
        <v>169368</v>
      </c>
      <c r="G100" s="67">
        <f>INDEX('Change in Proportion Layers'!$AF$8:$AF$324,MATCH('OPEB Amounts_Report'!A100,'Change in Proportion Layers'!$A$8:$A$324,0))</f>
        <v>466532</v>
      </c>
      <c r="H100" s="67">
        <f t="shared" si="4"/>
        <v>653691</v>
      </c>
      <c r="I100" s="67"/>
      <c r="J100" s="67">
        <f>ROUND(VLOOKUP(A100,'Contribution Allocation_Report'!$A$9:$D$314,4,FALSE)*'OPEB Amounts_Report'!$J$326,0)</f>
        <v>94542</v>
      </c>
      <c r="K100" s="67">
        <f>ROUND(VLOOKUP(A100,'Contribution Allocation_Report'!$A$9:$D$314,4,FALSE)*'OPEB Amounts_Report'!$K$326,0)</f>
        <v>573961</v>
      </c>
      <c r="L100" s="67">
        <f>INDEX('Change in Proportion Layers'!$AG$8:$AG$324,MATCH('OPEB Amounts_Report'!A100,'Change in Proportion Layers'!$A$8:$A$324,0))</f>
        <v>365322</v>
      </c>
      <c r="M100" s="67">
        <f t="shared" si="3"/>
        <v>1033825</v>
      </c>
      <c r="N100" s="68"/>
      <c r="O100" s="68">
        <f>ROUND(VLOOKUP(A100,'Contribution Allocation_Report'!$A$9:$D$314,4,FALSE)*'OPEB Amounts_Report'!$O$326,0)</f>
        <v>-184240</v>
      </c>
      <c r="P100" s="68">
        <f>INDEX('Change in Proportion Layers'!$AD$8:$AD$324,MATCH('OPEB Amounts_Report'!A100,'Change in Proportion Layers'!$A$8:$A$324,0))</f>
        <v>47880</v>
      </c>
      <c r="Q100" s="68">
        <f t="shared" si="5"/>
        <v>-136360</v>
      </c>
    </row>
    <row r="101" spans="1:17" ht="12" customHeight="1">
      <c r="A101" s="227">
        <v>11101</v>
      </c>
      <c r="B101" s="228" t="s">
        <v>91</v>
      </c>
      <c r="C101" s="84">
        <f>ROUND(VLOOKUP(A101,'Contribution Allocation_Report'!$A$9:$D$314,4,FALSE)*'OPEB Amounts_Report'!$C$326,0)</f>
        <v>10449261</v>
      </c>
      <c r="D101" s="84">
        <f>ROUND(VLOOKUP(A101,'Contribution Allocation_Report'!$A$9:$D$314,4,FALSE)*'OPEB Amounts_Report'!$D$326,0)</f>
        <v>111985</v>
      </c>
      <c r="E101" s="84">
        <f>ROUND(VLOOKUP(A101,'Contribution Allocation_Report'!$A$9:$D$314,4,FALSE)*'OPEB Amounts_Report'!$E$326,0)</f>
        <v>93406</v>
      </c>
      <c r="F101" s="84">
        <f>ROUND(VLOOKUP(A101,'Contribution Allocation_Report'!$A$9:$D$314,4,FALSE)*'OPEB Amounts_Report'!$F$326,0)</f>
        <v>1955319</v>
      </c>
      <c r="G101" s="84">
        <f>INDEX('Change in Proportion Layers'!$AF$8:$AF$324,MATCH('OPEB Amounts_Report'!A101,'Change in Proportion Layers'!$A$8:$A$324,0))</f>
        <v>2121012</v>
      </c>
      <c r="H101" s="84">
        <f t="shared" si="4"/>
        <v>4281722</v>
      </c>
      <c r="I101" s="84"/>
      <c r="J101" s="84">
        <f>ROUND(VLOOKUP(A101,'Contribution Allocation_Report'!$A$9:$D$314,4,FALSE)*'OPEB Amounts_Report'!$J$326,0)</f>
        <v>1091471</v>
      </c>
      <c r="K101" s="84">
        <f>ROUND(VLOOKUP(A101,'Contribution Allocation_Report'!$A$9:$D$314,4,FALSE)*'OPEB Amounts_Report'!$K$326,0)</f>
        <v>6626263</v>
      </c>
      <c r="L101" s="251">
        <f>INDEX('Change in Proportion Layers'!$AG$8:$AG$324,MATCH('OPEB Amounts_Report'!A101,'Change in Proportion Layers'!$A$8:$A$324,0))</f>
        <v>3570616</v>
      </c>
      <c r="M101" s="84">
        <f t="shared" si="3"/>
        <v>11288350</v>
      </c>
      <c r="N101" s="85"/>
      <c r="O101" s="85">
        <f>ROUND(VLOOKUP(A101,'Contribution Allocation_Report'!$A$9:$D$314,4,FALSE)*'OPEB Amounts_Report'!$O$326,0)</f>
        <v>-2127017</v>
      </c>
      <c r="P101" s="85">
        <f>INDEX('Change in Proportion Layers'!$AD$8:$AD$324,MATCH('OPEB Amounts_Report'!A101,'Change in Proportion Layers'!$A$8:$A$324,0))</f>
        <v>-920650</v>
      </c>
      <c r="Q101" s="85">
        <f t="shared" si="5"/>
        <v>-3047667</v>
      </c>
    </row>
    <row r="102" spans="1:17" ht="12" customHeight="1">
      <c r="A102" s="59">
        <v>11102</v>
      </c>
      <c r="B102" s="63" t="s">
        <v>90</v>
      </c>
      <c r="C102" s="67">
        <f>ROUND(VLOOKUP(A102,'Contribution Allocation_Report'!$A$9:$D$314,4,FALSE)*'OPEB Amounts_Report'!$C$326,0)</f>
        <v>3629965</v>
      </c>
      <c r="D102" s="67">
        <f>ROUND(VLOOKUP(A102,'Contribution Allocation_Report'!$A$9:$D$314,4,FALSE)*'OPEB Amounts_Report'!$D$326,0)</f>
        <v>38902</v>
      </c>
      <c r="E102" s="67">
        <f>ROUND(VLOOKUP(A102,'Contribution Allocation_Report'!$A$9:$D$314,4,FALSE)*'OPEB Amounts_Report'!$E$326,0)</f>
        <v>32448</v>
      </c>
      <c r="F102" s="67">
        <f>ROUND(VLOOKUP(A102,'Contribution Allocation_Report'!$A$9:$D$314,4,FALSE)*'OPEB Amounts_Report'!$F$326,0)</f>
        <v>679257</v>
      </c>
      <c r="G102" s="67">
        <f>INDEX('Change in Proportion Layers'!$AF$8:$AF$324,MATCH('OPEB Amounts_Report'!A102,'Change in Proportion Layers'!$A$8:$A$324,0))</f>
        <v>206763</v>
      </c>
      <c r="H102" s="67">
        <f t="shared" si="4"/>
        <v>957370</v>
      </c>
      <c r="I102" s="67"/>
      <c r="J102" s="67">
        <f>ROUND(VLOOKUP(A102,'Contribution Allocation_Report'!$A$9:$D$314,4,FALSE)*'OPEB Amounts_Report'!$J$326,0)</f>
        <v>379166</v>
      </c>
      <c r="K102" s="67">
        <f>ROUND(VLOOKUP(A102,'Contribution Allocation_Report'!$A$9:$D$314,4,FALSE)*'OPEB Amounts_Report'!$K$326,0)</f>
        <v>2301895</v>
      </c>
      <c r="L102" s="250">
        <f>INDEX('Change in Proportion Layers'!$AG$8:$AG$324,MATCH('OPEB Amounts_Report'!A102,'Change in Proportion Layers'!$A$8:$A$324,0))</f>
        <v>487752</v>
      </c>
      <c r="M102" s="67">
        <f t="shared" si="3"/>
        <v>3168813</v>
      </c>
      <c r="N102" s="68"/>
      <c r="O102" s="68">
        <f>ROUND(VLOOKUP(A102,'Contribution Allocation_Report'!$A$9:$D$314,4,FALSE)*'OPEB Amounts_Report'!$O$326,0)</f>
        <v>-738903</v>
      </c>
      <c r="P102" s="68">
        <f>INDEX('Change in Proportion Layers'!$AD$8:$AD$324,MATCH('OPEB Amounts_Report'!A102,'Change in Proportion Layers'!$A$8:$A$324,0))</f>
        <v>-273743</v>
      </c>
      <c r="Q102" s="68">
        <f t="shared" si="5"/>
        <v>-1012646</v>
      </c>
    </row>
    <row r="103" spans="1:17" ht="12" customHeight="1">
      <c r="A103" s="227">
        <v>3100</v>
      </c>
      <c r="B103" s="228" t="s">
        <v>92</v>
      </c>
      <c r="C103" s="84">
        <f>ROUND(VLOOKUP(A103,'Contribution Allocation_Report'!$A$9:$D$314,4,FALSE)*'OPEB Amounts_Report'!$C$326,0)</f>
        <v>7429959</v>
      </c>
      <c r="D103" s="84">
        <f>ROUND(VLOOKUP(A103,'Contribution Allocation_Report'!$A$9:$D$314,4,FALSE)*'OPEB Amounts_Report'!$D$326,0)</f>
        <v>79627</v>
      </c>
      <c r="E103" s="84">
        <f>ROUND(VLOOKUP(A103,'Contribution Allocation_Report'!$A$9:$D$314,4,FALSE)*'OPEB Amounts_Report'!$E$326,0)</f>
        <v>66417</v>
      </c>
      <c r="F103" s="84">
        <f>ROUND(VLOOKUP(A103,'Contribution Allocation_Report'!$A$9:$D$314,4,FALSE)*'OPEB Amounts_Report'!$F$326,0)</f>
        <v>1390331</v>
      </c>
      <c r="G103" s="84">
        <f>INDEX('Change in Proportion Layers'!$AF$8:$AF$324,MATCH('OPEB Amounts_Report'!A103,'Change in Proportion Layers'!$A$8:$A$324,0))</f>
        <v>1055878</v>
      </c>
      <c r="H103" s="84">
        <f t="shared" si="4"/>
        <v>2592253</v>
      </c>
      <c r="I103" s="84"/>
      <c r="J103" s="84">
        <f>ROUND(VLOOKUP(A103,'Contribution Allocation_Report'!$A$9:$D$314,4,FALSE)*'OPEB Amounts_Report'!$J$326,0)</f>
        <v>776092</v>
      </c>
      <c r="K103" s="84">
        <f>ROUND(VLOOKUP(A103,'Contribution Allocation_Report'!$A$9:$D$314,4,FALSE)*'OPEB Amounts_Report'!$K$326,0)</f>
        <v>4711612</v>
      </c>
      <c r="L103" s="251">
        <f>INDEX('Change in Proportion Layers'!$AG$8:$AG$324,MATCH('OPEB Amounts_Report'!A103,'Change in Proportion Layers'!$A$8:$A$324,0))</f>
        <v>1384469</v>
      </c>
      <c r="M103" s="84">
        <f t="shared" si="3"/>
        <v>6872173</v>
      </c>
      <c r="N103" s="85"/>
      <c r="O103" s="85">
        <f>ROUND(VLOOKUP(A103,'Contribution Allocation_Report'!$A$9:$D$314,4,FALSE)*'OPEB Amounts_Report'!$O$326,0)</f>
        <v>-1512417</v>
      </c>
      <c r="P103" s="85">
        <f>INDEX('Change in Proportion Layers'!$AD$8:$AD$324,MATCH('OPEB Amounts_Report'!A103,'Change in Proportion Layers'!$A$8:$A$324,0))</f>
        <v>8757</v>
      </c>
      <c r="Q103" s="85">
        <f t="shared" si="5"/>
        <v>-1503660</v>
      </c>
    </row>
    <row r="104" spans="1:17" ht="12" customHeight="1">
      <c r="A104" s="59">
        <v>2323</v>
      </c>
      <c r="B104" s="63" t="s">
        <v>93</v>
      </c>
      <c r="C104" s="67">
        <f>ROUND(VLOOKUP(A104,'Contribution Allocation_Report'!$A$9:$D$314,4,FALSE)*'OPEB Amounts_Report'!$C$326,0)</f>
        <v>733844</v>
      </c>
      <c r="D104" s="67">
        <f>ROUND(VLOOKUP(A104,'Contribution Allocation_Report'!$A$9:$D$314,4,FALSE)*'OPEB Amounts_Report'!$D$326,0)</f>
        <v>7865</v>
      </c>
      <c r="E104" s="67">
        <f>ROUND(VLOOKUP(A104,'Contribution Allocation_Report'!$A$9:$D$314,4,FALSE)*'OPEB Amounts_Report'!$E$326,0)</f>
        <v>6560</v>
      </c>
      <c r="F104" s="67">
        <f>ROUND(VLOOKUP(A104,'Contribution Allocation_Report'!$A$9:$D$314,4,FALSE)*'OPEB Amounts_Report'!$F$326,0)</f>
        <v>137321</v>
      </c>
      <c r="G104" s="67">
        <f>INDEX('Change in Proportion Layers'!$AF$8:$AF$324,MATCH('OPEB Amounts_Report'!A104,'Change in Proportion Layers'!$A$8:$A$324,0))</f>
        <v>119386</v>
      </c>
      <c r="H104" s="67">
        <f t="shared" si="4"/>
        <v>271132</v>
      </c>
      <c r="I104" s="67"/>
      <c r="J104" s="67">
        <f>ROUND(VLOOKUP(A104,'Contribution Allocation_Report'!$A$9:$D$314,4,FALSE)*'OPEB Amounts_Report'!$J$326,0)</f>
        <v>76653</v>
      </c>
      <c r="K104" s="67">
        <f>ROUND(VLOOKUP(A104,'Contribution Allocation_Report'!$A$9:$D$314,4,FALSE)*'OPEB Amounts_Report'!$K$326,0)</f>
        <v>465357</v>
      </c>
      <c r="L104" s="250">
        <f>INDEX('Change in Proportion Layers'!$AG$8:$AG$324,MATCH('OPEB Amounts_Report'!A104,'Change in Proportion Layers'!$A$8:$A$324,0))</f>
        <v>141872</v>
      </c>
      <c r="M104" s="67">
        <f t="shared" si="3"/>
        <v>683882</v>
      </c>
      <c r="N104" s="68"/>
      <c r="O104" s="68">
        <f>ROUND(VLOOKUP(A104,'Contribution Allocation_Report'!$A$9:$D$314,4,FALSE)*'OPEB Amounts_Report'!$O$326,0)</f>
        <v>-149379</v>
      </c>
      <c r="P104" s="68">
        <f>INDEX('Change in Proportion Layers'!$AD$8:$AD$324,MATCH('OPEB Amounts_Report'!A104,'Change in Proportion Layers'!$A$8:$A$324,0))</f>
        <v>29332</v>
      </c>
      <c r="Q104" s="68">
        <f t="shared" si="5"/>
        <v>-120047</v>
      </c>
    </row>
    <row r="105" spans="1:17" ht="12" customHeight="1">
      <c r="A105" s="227">
        <v>11034</v>
      </c>
      <c r="B105" s="228" t="s">
        <v>94</v>
      </c>
      <c r="C105" s="84">
        <f>ROUND(VLOOKUP(A105,'Contribution Allocation_Report'!$A$9:$D$314,4,FALSE)*'OPEB Amounts_Report'!$C$326,0)</f>
        <v>569168</v>
      </c>
      <c r="D105" s="84">
        <f>ROUND(VLOOKUP(A105,'Contribution Allocation_Report'!$A$9:$D$314,4,FALSE)*'OPEB Amounts_Report'!$D$326,0)</f>
        <v>6100</v>
      </c>
      <c r="E105" s="84">
        <f>ROUND(VLOOKUP(A105,'Contribution Allocation_Report'!$A$9:$D$314,4,FALSE)*'OPEB Amounts_Report'!$E$326,0)</f>
        <v>5088</v>
      </c>
      <c r="F105" s="84">
        <f>ROUND(VLOOKUP(A105,'Contribution Allocation_Report'!$A$9:$D$314,4,FALSE)*'OPEB Amounts_Report'!$F$326,0)</f>
        <v>106506</v>
      </c>
      <c r="G105" s="84">
        <f>INDEX('Change in Proportion Layers'!$AF$8:$AF$324,MATCH('OPEB Amounts_Report'!A105,'Change in Proportion Layers'!$A$8:$A$324,0))</f>
        <v>81976</v>
      </c>
      <c r="H105" s="84">
        <f t="shared" si="4"/>
        <v>199670</v>
      </c>
      <c r="I105" s="84"/>
      <c r="J105" s="84">
        <f>ROUND(VLOOKUP(A105,'Contribution Allocation_Report'!$A$9:$D$314,4,FALSE)*'OPEB Amounts_Report'!$J$326,0)</f>
        <v>59452</v>
      </c>
      <c r="K105" s="84">
        <f>ROUND(VLOOKUP(A105,'Contribution Allocation_Report'!$A$9:$D$314,4,FALSE)*'OPEB Amounts_Report'!$K$326,0)</f>
        <v>360930</v>
      </c>
      <c r="L105" s="251">
        <f>INDEX('Change in Proportion Layers'!$AG$8:$AG$324,MATCH('OPEB Amounts_Report'!A105,'Change in Proportion Layers'!$A$8:$A$324,0))</f>
        <v>57812</v>
      </c>
      <c r="M105" s="84">
        <f t="shared" si="3"/>
        <v>478194</v>
      </c>
      <c r="N105" s="85"/>
      <c r="O105" s="85">
        <f>ROUND(VLOOKUP(A105,'Contribution Allocation_Report'!$A$9:$D$314,4,FALSE)*'OPEB Amounts_Report'!$O$326,0)</f>
        <v>-115858</v>
      </c>
      <c r="P105" s="85">
        <f>INDEX('Change in Proportion Layers'!$AD$8:$AD$324,MATCH('OPEB Amounts_Report'!A105,'Change in Proportion Layers'!$A$8:$A$324,0))</f>
        <v>54878</v>
      </c>
      <c r="Q105" s="85">
        <f t="shared" si="5"/>
        <v>-60980</v>
      </c>
    </row>
    <row r="106" spans="1:17" ht="12" customHeight="1">
      <c r="A106" s="59">
        <v>17054</v>
      </c>
      <c r="B106" s="60" t="s">
        <v>95</v>
      </c>
      <c r="C106" s="154">
        <f>ROUND(VLOOKUP(A106,'Contribution Allocation_Report'!$A$9:$D$314,4,FALSE)*'OPEB Amounts_Report'!$C$326,0)</f>
        <v>7642239</v>
      </c>
      <c r="D106" s="154">
        <f>ROUND(VLOOKUP(A106,'Contribution Allocation_Report'!$A$9:$D$314,4,FALSE)*'OPEB Amounts_Report'!$D$326,0)</f>
        <v>81902</v>
      </c>
      <c r="E106" s="154">
        <f>ROUND(VLOOKUP(A106,'Contribution Allocation_Report'!$A$9:$D$314,4,FALSE)*'OPEB Amounts_Report'!$E$326,0)</f>
        <v>68314</v>
      </c>
      <c r="F106" s="154">
        <f>ROUND(VLOOKUP(A106,'Contribution Allocation_Report'!$A$9:$D$314,4,FALSE)*'OPEB Amounts_Report'!$F$326,0)</f>
        <v>1430054</v>
      </c>
      <c r="G106" s="154">
        <f>INDEX('Change in Proportion Layers'!$AF$8:$AF$324,MATCH('OPEB Amounts_Report'!A106,'Change in Proportion Layers'!$A$8:$A$324,0))</f>
        <v>103558</v>
      </c>
      <c r="H106" s="154">
        <f t="shared" si="4"/>
        <v>1683828</v>
      </c>
      <c r="I106" s="154"/>
      <c r="J106" s="154">
        <f>ROUND(VLOOKUP(A106,'Contribution Allocation_Report'!$A$9:$D$314,4,FALSE)*'OPEB Amounts_Report'!$J$326,0)</f>
        <v>798265</v>
      </c>
      <c r="K106" s="154">
        <f>ROUND(VLOOKUP(A106,'Contribution Allocation_Report'!$A$9:$D$314,4,FALSE)*'OPEB Amounts_Report'!$K$326,0)</f>
        <v>4846226</v>
      </c>
      <c r="L106" s="156">
        <f>INDEX('Change in Proportion Layers'!$AG$8:$AG$324,MATCH('OPEB Amounts_Report'!A106,'Change in Proportion Layers'!$A$8:$A$324,0))</f>
        <v>1388451</v>
      </c>
      <c r="M106" s="154">
        <f t="shared" si="3"/>
        <v>7032942</v>
      </c>
      <c r="N106" s="155"/>
      <c r="O106" s="155">
        <f>ROUND(VLOOKUP(A106,'Contribution Allocation_Report'!$A$9:$D$314,4,FALSE)*'OPEB Amounts_Report'!$O$326,0)</f>
        <v>-1555629</v>
      </c>
      <c r="P106" s="155">
        <f>INDEX('Change in Proportion Layers'!$AD$8:$AD$324,MATCH('OPEB Amounts_Report'!A106,'Change in Proportion Layers'!$A$8:$A$324,0))</f>
        <v>-307033</v>
      </c>
      <c r="Q106" s="155">
        <f t="shared" si="5"/>
        <v>-1862662</v>
      </c>
    </row>
    <row r="107" spans="1:17" ht="12" customHeight="1">
      <c r="A107" s="227">
        <v>22065</v>
      </c>
      <c r="B107" s="228" t="s">
        <v>96</v>
      </c>
      <c r="C107" s="84">
        <f>ROUND(VLOOKUP(A107,'Contribution Allocation_Report'!$A$9:$D$314,4,FALSE)*'OPEB Amounts_Report'!$C$326,0)</f>
        <v>1954188</v>
      </c>
      <c r="D107" s="84">
        <f>ROUND(VLOOKUP(A107,'Contribution Allocation_Report'!$A$9:$D$314,4,FALSE)*'OPEB Amounts_Report'!$D$326,0)</f>
        <v>20943</v>
      </c>
      <c r="E107" s="84">
        <f>ROUND(VLOOKUP(A107,'Contribution Allocation_Report'!$A$9:$D$314,4,FALSE)*'OPEB Amounts_Report'!$E$326,0)</f>
        <v>17469</v>
      </c>
      <c r="F107" s="84">
        <f>ROUND(VLOOKUP(A107,'Contribution Allocation_Report'!$A$9:$D$314,4,FALSE)*'OPEB Amounts_Report'!$F$326,0)</f>
        <v>365678</v>
      </c>
      <c r="G107" s="84">
        <f>INDEX('Change in Proportion Layers'!$AF$8:$AF$324,MATCH('OPEB Amounts_Report'!A107,'Change in Proportion Layers'!$A$8:$A$324,0))</f>
        <v>337753</v>
      </c>
      <c r="H107" s="84">
        <f t="shared" si="4"/>
        <v>741843</v>
      </c>
      <c r="I107" s="84"/>
      <c r="J107" s="84">
        <f>ROUND(VLOOKUP(A107,'Contribution Allocation_Report'!$A$9:$D$314,4,FALSE)*'OPEB Amounts_Report'!$J$326,0)</f>
        <v>204124</v>
      </c>
      <c r="K107" s="84">
        <f>ROUND(VLOOKUP(A107,'Contribution Allocation_Report'!$A$9:$D$314,4,FALSE)*'OPEB Amounts_Report'!$K$326,0)</f>
        <v>1239223</v>
      </c>
      <c r="L107" s="84">
        <f>INDEX('Change in Proportion Layers'!$AG$8:$AG$324,MATCH('OPEB Amounts_Report'!A107,'Change in Proportion Layers'!$A$8:$A$324,0))</f>
        <v>96256</v>
      </c>
      <c r="M107" s="84">
        <f t="shared" si="3"/>
        <v>1539603</v>
      </c>
      <c r="N107" s="85"/>
      <c r="O107" s="85">
        <f>ROUND(VLOOKUP(A107,'Contribution Allocation_Report'!$A$9:$D$314,4,FALSE)*'OPEB Amounts_Report'!$O$326,0)</f>
        <v>-397788</v>
      </c>
      <c r="P107" s="85">
        <f>INDEX('Change in Proportion Layers'!$AD$8:$AD$324,MATCH('OPEB Amounts_Report'!A107,'Change in Proportion Layers'!$A$8:$A$324,0))</f>
        <v>83454</v>
      </c>
      <c r="Q107" s="85">
        <f t="shared" si="5"/>
        <v>-314334</v>
      </c>
    </row>
    <row r="108" spans="1:17" ht="12" customHeight="1">
      <c r="A108" s="59">
        <v>22201</v>
      </c>
      <c r="B108" s="63" t="s">
        <v>97</v>
      </c>
      <c r="C108" s="67">
        <f>ROUND(VLOOKUP(A108,'Contribution Allocation_Report'!$A$9:$D$314,4,FALSE)*'OPEB Amounts_Report'!$C$326,0)</f>
        <v>1147501</v>
      </c>
      <c r="D108" s="67">
        <f>ROUND(VLOOKUP(A108,'Contribution Allocation_Report'!$A$9:$D$314,4,FALSE)*'OPEB Amounts_Report'!$D$326,0)</f>
        <v>12298</v>
      </c>
      <c r="E108" s="67">
        <f>ROUND(VLOOKUP(A108,'Contribution Allocation_Report'!$A$9:$D$314,4,FALSE)*'OPEB Amounts_Report'!$E$326,0)</f>
        <v>10258</v>
      </c>
      <c r="F108" s="67">
        <f>ROUND(VLOOKUP(A108,'Contribution Allocation_Report'!$A$9:$D$314,4,FALSE)*'OPEB Amounts_Report'!$F$326,0)</f>
        <v>214726</v>
      </c>
      <c r="G108" s="67">
        <f>INDEX('Change in Proportion Layers'!$AF$8:$AF$324,MATCH('OPEB Amounts_Report'!A108,'Change in Proportion Layers'!$A$8:$A$324,0))</f>
        <v>379670</v>
      </c>
      <c r="H108" s="67">
        <f t="shared" si="4"/>
        <v>616952</v>
      </c>
      <c r="I108" s="67"/>
      <c r="J108" s="67">
        <f>ROUND(VLOOKUP(A108,'Contribution Allocation_Report'!$A$9:$D$314,4,FALSE)*'OPEB Amounts_Report'!$J$326,0)</f>
        <v>119862</v>
      </c>
      <c r="K108" s="67">
        <f>ROUND(VLOOKUP(A108,'Contribution Allocation_Report'!$A$9:$D$314,4,FALSE)*'OPEB Amounts_Report'!$K$326,0)</f>
        <v>727673</v>
      </c>
      <c r="L108" s="67">
        <f>INDEX('Change in Proportion Layers'!$AG$8:$AG$324,MATCH('OPEB Amounts_Report'!A108,'Change in Proportion Layers'!$A$8:$A$324,0))</f>
        <v>19723</v>
      </c>
      <c r="M108" s="67">
        <f t="shared" si="3"/>
        <v>867258</v>
      </c>
      <c r="N108" s="68"/>
      <c r="O108" s="68">
        <f>ROUND(VLOOKUP(A108,'Contribution Allocation_Report'!$A$9:$D$314,4,FALSE)*'OPEB Amounts_Report'!$O$326,0)</f>
        <v>-233581</v>
      </c>
      <c r="P108" s="68">
        <f>INDEX('Change in Proportion Layers'!$AD$8:$AD$324,MATCH('OPEB Amounts_Report'!A108,'Change in Proportion Layers'!$A$8:$A$324,0))</f>
        <v>164492</v>
      </c>
      <c r="Q108" s="68">
        <f t="shared" si="5"/>
        <v>-69089</v>
      </c>
    </row>
    <row r="109" spans="1:17" ht="12" customHeight="1">
      <c r="A109" s="227">
        <v>6016</v>
      </c>
      <c r="B109" s="228" t="s">
        <v>98</v>
      </c>
      <c r="C109" s="84">
        <f>ROUND(VLOOKUP(A109,'Contribution Allocation_Report'!$A$9:$D$314,4,FALSE)*'OPEB Amounts_Report'!$C$326,0)</f>
        <v>1877126</v>
      </c>
      <c r="D109" s="84">
        <f>ROUND(VLOOKUP(A109,'Contribution Allocation_Report'!$A$9:$D$314,4,FALSE)*'OPEB Amounts_Report'!$D$326,0)</f>
        <v>20117</v>
      </c>
      <c r="E109" s="84">
        <f>ROUND(VLOOKUP(A109,'Contribution Allocation_Report'!$A$9:$D$314,4,FALSE)*'OPEB Amounts_Report'!$E$326,0)</f>
        <v>16780</v>
      </c>
      <c r="F109" s="84">
        <f>ROUND(VLOOKUP(A109,'Contribution Allocation_Report'!$A$9:$D$314,4,FALSE)*'OPEB Amounts_Report'!$F$326,0)</f>
        <v>351257</v>
      </c>
      <c r="G109" s="84">
        <f>INDEX('Change in Proportion Layers'!$AF$8:$AF$324,MATCH('OPEB Amounts_Report'!A109,'Change in Proportion Layers'!$A$8:$A$324,0))</f>
        <v>217135</v>
      </c>
      <c r="H109" s="84">
        <f t="shared" si="4"/>
        <v>605289</v>
      </c>
      <c r="I109" s="84"/>
      <c r="J109" s="84">
        <f>ROUND(VLOOKUP(A109,'Contribution Allocation_Report'!$A$9:$D$314,4,FALSE)*'OPEB Amounts_Report'!$J$326,0)</f>
        <v>196074</v>
      </c>
      <c r="K109" s="84">
        <f>ROUND(VLOOKUP(A109,'Contribution Allocation_Report'!$A$9:$D$314,4,FALSE)*'OPEB Amounts_Report'!$K$326,0)</f>
        <v>1190355</v>
      </c>
      <c r="L109" s="84">
        <f>INDEX('Change in Proportion Layers'!$AG$8:$AG$324,MATCH('OPEB Amounts_Report'!A109,'Change in Proportion Layers'!$A$8:$A$324,0))</f>
        <v>180621</v>
      </c>
      <c r="M109" s="84">
        <f t="shared" si="3"/>
        <v>1567050</v>
      </c>
      <c r="N109" s="85"/>
      <c r="O109" s="85">
        <f>ROUND(VLOOKUP(A109,'Contribution Allocation_Report'!$A$9:$D$314,4,FALSE)*'OPEB Amounts_Report'!$O$326,0)</f>
        <v>-382102</v>
      </c>
      <c r="P109" s="85">
        <f>INDEX('Change in Proportion Layers'!$AD$8:$AD$324,MATCH('OPEB Amounts_Report'!A109,'Change in Proportion Layers'!$A$8:$A$324,0))</f>
        <v>81257</v>
      </c>
      <c r="Q109" s="85">
        <f t="shared" si="5"/>
        <v>-300845</v>
      </c>
    </row>
    <row r="110" spans="1:17" s="190" customFormat="1" ht="12" customHeight="1">
      <c r="A110" s="59">
        <v>2432</v>
      </c>
      <c r="B110" s="63" t="s">
        <v>99</v>
      </c>
      <c r="C110" s="67">
        <f>ROUND(VLOOKUP(A110,'Contribution Allocation_Report'!$A$9:$D$314,4,FALSE)*'OPEB Amounts_Report'!$C$326,0)</f>
        <v>2983329</v>
      </c>
      <c r="D110" s="67">
        <f>ROUND(VLOOKUP(A110,'Contribution Allocation_Report'!$A$9:$D$314,4,FALSE)*'OPEB Amounts_Report'!$D$326,0)</f>
        <v>31972</v>
      </c>
      <c r="E110" s="67">
        <f>ROUND(VLOOKUP(A110,'Contribution Allocation_Report'!$A$9:$D$314,4,FALSE)*'OPEB Amounts_Report'!$E$326,0)</f>
        <v>26668</v>
      </c>
      <c r="F110" s="67">
        <f>ROUND(VLOOKUP(A110,'Contribution Allocation_Report'!$A$9:$D$314,4,FALSE)*'OPEB Amounts_Report'!$F$326,0)</f>
        <v>558256</v>
      </c>
      <c r="G110" s="67">
        <f>INDEX('Change in Proportion Layers'!$AF$8:$AF$324,MATCH('OPEB Amounts_Report'!A110,'Change in Proportion Layers'!$A$8:$A$324,0))</f>
        <v>2615723</v>
      </c>
      <c r="H110" s="67">
        <f>SUM(D110:G110)</f>
        <v>3232619</v>
      </c>
      <c r="I110" s="67"/>
      <c r="J110" s="67">
        <f>ROUND(VLOOKUP(A110,'Contribution Allocation_Report'!$A$9:$D$314,4,FALSE)*'OPEB Amounts_Report'!$J$326,0)</f>
        <v>311622</v>
      </c>
      <c r="K110" s="67">
        <f>ROUND(VLOOKUP(A110,'Contribution Allocation_Report'!$A$9:$D$314,4,FALSE)*'OPEB Amounts_Report'!$K$326,0)</f>
        <v>1891839</v>
      </c>
      <c r="L110" s="67">
        <f>INDEX('Change in Proportion Layers'!$AG$8:$AG$324,MATCH('OPEB Amounts_Report'!A110,'Change in Proportion Layers'!$A$8:$A$324,0))</f>
        <v>38105</v>
      </c>
      <c r="M110" s="67">
        <f t="shared" si="3"/>
        <v>2241566</v>
      </c>
      <c r="N110" s="68"/>
      <c r="O110" s="68">
        <f>ROUND(VLOOKUP(A110,'Contribution Allocation_Report'!$A$9:$D$314,4,FALSE)*'OPEB Amounts_Report'!$O$326,0)</f>
        <v>-607276</v>
      </c>
      <c r="P110" s="68">
        <f>INDEX('Change in Proportion Layers'!$AD$8:$AD$324,MATCH('OPEB Amounts_Report'!A110,'Change in Proportion Layers'!$A$8:$A$324,0))</f>
        <v>949797</v>
      </c>
      <c r="Q110" s="68">
        <f t="shared" si="5"/>
        <v>342521</v>
      </c>
    </row>
    <row r="111" spans="1:17" ht="12" customHeight="1">
      <c r="A111" s="227">
        <v>7440</v>
      </c>
      <c r="B111" s="228" t="s">
        <v>447</v>
      </c>
      <c r="C111" s="84">
        <f>ROUND(VLOOKUP(A111,'Contribution Allocation_Report'!$A$9:$D$314,4,FALSE)*'OPEB Amounts_Report'!$C$326,0)</f>
        <v>673697</v>
      </c>
      <c r="D111" s="84">
        <f>ROUND(VLOOKUP(A111,'Contribution Allocation_Report'!$A$9:$D$314,4,FALSE)*'OPEB Amounts_Report'!$D$326,0)</f>
        <v>7220</v>
      </c>
      <c r="E111" s="84">
        <f>ROUND(VLOOKUP(A111,'Contribution Allocation_Report'!$A$9:$D$314,4,FALSE)*'OPEB Amounts_Report'!$E$326,0)</f>
        <v>6022</v>
      </c>
      <c r="F111" s="84">
        <f>ROUND(VLOOKUP(A111,'Contribution Allocation_Report'!$A$9:$D$314,4,FALSE)*'OPEB Amounts_Report'!$F$326,0)</f>
        <v>126065</v>
      </c>
      <c r="G111" s="84">
        <f>INDEX('Change in Proportion Layers'!$AF$8:$AF$324,MATCH('OPEB Amounts_Report'!A111,'Change in Proportion Layers'!$A$8:$A$324,0))</f>
        <v>930236</v>
      </c>
      <c r="H111" s="84">
        <f t="shared" si="4"/>
        <v>1069543</v>
      </c>
      <c r="I111" s="84"/>
      <c r="J111" s="84">
        <f>ROUND(VLOOKUP(A111,'Contribution Allocation_Report'!$A$9:$D$314,4,FALSE)*'OPEB Amounts_Report'!$J$326,0)</f>
        <v>70371</v>
      </c>
      <c r="K111" s="84">
        <f>ROUND(VLOOKUP(A111,'Contribution Allocation_Report'!$A$9:$D$314,4,FALSE)*'OPEB Amounts_Report'!$K$326,0)</f>
        <v>427216</v>
      </c>
      <c r="L111" s="251">
        <f>INDEX('Change in Proportion Layers'!$AG$8:$AG$324,MATCH('OPEB Amounts_Report'!A111,'Change in Proportion Layers'!$A$8:$A$324,0))</f>
        <v>0</v>
      </c>
      <c r="M111" s="84">
        <f t="shared" si="3"/>
        <v>497587</v>
      </c>
      <c r="N111" s="85"/>
      <c r="O111" s="85">
        <f>ROUND(VLOOKUP(A111,'Contribution Allocation_Report'!$A$9:$D$314,4,FALSE)*'OPEB Amounts_Report'!$O$326,0)</f>
        <v>-137135</v>
      </c>
      <c r="P111" s="85">
        <f>INDEX('Change in Proportion Layers'!$AD$8:$AD$324,MATCH('OPEB Amounts_Report'!A111,'Change in Proportion Layers'!$A$8:$A$324,0))</f>
        <v>241310</v>
      </c>
      <c r="Q111" s="85">
        <f t="shared" si="5"/>
        <v>104175</v>
      </c>
    </row>
    <row r="112" spans="1:17" s="190" customFormat="1" ht="12" customHeight="1">
      <c r="A112" s="59">
        <v>29125</v>
      </c>
      <c r="B112" s="63" t="s">
        <v>483</v>
      </c>
      <c r="C112" s="67">
        <f>ROUND(VLOOKUP(A112,'Contribution Allocation_Report'!$A$9:$D$314,4,FALSE)*'OPEB Amounts_Report'!$C$326,0)</f>
        <v>461318</v>
      </c>
      <c r="D112" s="67">
        <f>ROUND(VLOOKUP(A112,'Contribution Allocation_Report'!$A$9:$D$314,4,FALSE)*'OPEB Amounts_Report'!$D$326,0)</f>
        <v>4944</v>
      </c>
      <c r="E112" s="67">
        <f>ROUND(VLOOKUP(A112,'Contribution Allocation_Report'!$A$9:$D$314,4,FALSE)*'OPEB Amounts_Report'!$E$326,0)</f>
        <v>4124</v>
      </c>
      <c r="F112" s="67">
        <f>ROUND(VLOOKUP(A112,'Contribution Allocation_Report'!$A$9:$D$314,4,FALSE)*'OPEB Amounts_Report'!$F$326,0)</f>
        <v>86324</v>
      </c>
      <c r="G112" s="250">
        <f>INDEX('Change in Proportion Layers'!$AF$8:$AF$324,MATCH('OPEB Amounts_Report'!A112,'Change in Proportion Layers'!$A$8:$A$324,0))</f>
        <v>692950</v>
      </c>
      <c r="H112" s="67">
        <f>SUM(D112:G112)</f>
        <v>788342</v>
      </c>
      <c r="I112" s="67"/>
      <c r="J112" s="67">
        <f>ROUND(VLOOKUP(A112,'Contribution Allocation_Report'!$A$9:$D$314,4,FALSE)*'OPEB Amounts_Report'!$J$326,0)</f>
        <v>48187</v>
      </c>
      <c r="K112" s="67">
        <f>ROUND(VLOOKUP(A112,'Contribution Allocation_Report'!$A$9:$D$314,4,FALSE)*'OPEB Amounts_Report'!$K$326,0)</f>
        <v>292539</v>
      </c>
      <c r="L112" s="67">
        <f>INDEX('Change in Proportion Layers'!$AG$8:$AG$324,MATCH('OPEB Amounts_Report'!A112,'Change in Proportion Layers'!$A$8:$A$324,0))</f>
        <v>0</v>
      </c>
      <c r="M112" s="67">
        <f t="shared" ref="M112" si="6">SUM(J112:L112)</f>
        <v>340726</v>
      </c>
      <c r="N112" s="68"/>
      <c r="O112" s="68">
        <f>ROUND(VLOOKUP(A112,'Contribution Allocation_Report'!$A$9:$D$314,4,FALSE)*'OPEB Amounts_Report'!$O$326,0)</f>
        <v>-93904</v>
      </c>
      <c r="P112" s="68">
        <f>INDEX('Change in Proportion Layers'!$AD$8:$AD$324,MATCH('OPEB Amounts_Report'!A112,'Change in Proportion Layers'!$A$8:$A$324,0))</f>
        <v>140558</v>
      </c>
      <c r="Q112" s="68">
        <f t="shared" ref="Q112" si="7">+O112+P112</f>
        <v>46654</v>
      </c>
    </row>
    <row r="113" spans="1:17" ht="12" customHeight="1">
      <c r="A113" s="227">
        <v>16052</v>
      </c>
      <c r="B113" s="228" t="s">
        <v>100</v>
      </c>
      <c r="C113" s="84">
        <f>ROUND(VLOOKUP(A113,'Contribution Allocation_Report'!$A$9:$D$314,4,FALSE)*'OPEB Amounts_Report'!$C$326,0)</f>
        <v>23536959</v>
      </c>
      <c r="D113" s="84">
        <f>ROUND(VLOOKUP(A113,'Contribution Allocation_Report'!$A$9:$D$314,4,FALSE)*'OPEB Amounts_Report'!$D$326,0)</f>
        <v>252247</v>
      </c>
      <c r="E113" s="84">
        <f>ROUND(VLOOKUP(A113,'Contribution Allocation_Report'!$A$9:$D$314,4,FALSE)*'OPEB Amounts_Report'!$E$326,0)</f>
        <v>210398</v>
      </c>
      <c r="F113" s="84">
        <f>ROUND(VLOOKUP(A113,'Contribution Allocation_Report'!$A$9:$D$314,4,FALSE)*'OPEB Amounts_Report'!$F$326,0)</f>
        <v>4404355</v>
      </c>
      <c r="G113" s="84">
        <f>INDEX('Change in Proportion Layers'!$AF$8:$AF$324,MATCH('OPEB Amounts_Report'!A113,'Change in Proportion Layers'!$A$8:$A$324,0))</f>
        <v>1995431</v>
      </c>
      <c r="H113" s="84">
        <f t="shared" si="4"/>
        <v>6862431</v>
      </c>
      <c r="I113" s="84"/>
      <c r="J113" s="84">
        <f>ROUND(VLOOKUP(A113,'Contribution Allocation_Report'!$A$9:$D$314,4,FALSE)*'OPEB Amounts_Report'!$J$326,0)</f>
        <v>2458539</v>
      </c>
      <c r="K113" s="84">
        <f>ROUND(VLOOKUP(A113,'Contribution Allocation_Report'!$A$9:$D$314,4,FALSE)*'OPEB Amounts_Report'!$K$326,0)</f>
        <v>14925656</v>
      </c>
      <c r="L113" s="251">
        <f>INDEX('Change in Proportion Layers'!$AG$8:$AG$324,MATCH('OPEB Amounts_Report'!A113,'Change in Proportion Layers'!$A$8:$A$324,0))</f>
        <v>2224735</v>
      </c>
      <c r="M113" s="84">
        <f t="shared" si="3"/>
        <v>19608930</v>
      </c>
      <c r="N113" s="85"/>
      <c r="O113" s="85">
        <f>ROUND(VLOOKUP(A113,'Contribution Allocation_Report'!$A$9:$D$314,4,FALSE)*'OPEB Amounts_Report'!$O$326,0)</f>
        <v>-4791104</v>
      </c>
      <c r="P113" s="85">
        <f>INDEX('Change in Proportion Layers'!$AD$8:$AD$324,MATCH('OPEB Amounts_Report'!A113,'Change in Proportion Layers'!$A$8:$A$324,0))</f>
        <v>729946</v>
      </c>
      <c r="Q113" s="85">
        <f t="shared" si="5"/>
        <v>-4061158</v>
      </c>
    </row>
    <row r="114" spans="1:17" ht="12" customHeight="1">
      <c r="A114" s="59">
        <v>11118</v>
      </c>
      <c r="B114" s="63" t="s">
        <v>101</v>
      </c>
      <c r="C114" s="67">
        <f>ROUND(VLOOKUP(A114,'Contribution Allocation_Report'!$A$9:$D$314,4,FALSE)*'OPEB Amounts_Report'!$C$326,0)</f>
        <v>640512</v>
      </c>
      <c r="D114" s="67">
        <f>ROUND(VLOOKUP(A114,'Contribution Allocation_Report'!$A$9:$D$314,4,FALSE)*'OPEB Amounts_Report'!$D$326,0)</f>
        <v>6864</v>
      </c>
      <c r="E114" s="67">
        <f>ROUND(VLOOKUP(A114,'Contribution Allocation_Report'!$A$9:$D$314,4,FALSE)*'OPEB Amounts_Report'!$E$326,0)</f>
        <v>5726</v>
      </c>
      <c r="F114" s="67">
        <f>ROUND(VLOOKUP(A114,'Contribution Allocation_Report'!$A$9:$D$314,4,FALSE)*'OPEB Amounts_Report'!$F$326,0)</f>
        <v>119856</v>
      </c>
      <c r="G114" s="250">
        <f>INDEX('Change in Proportion Layers'!$AF$8:$AF$324,MATCH('OPEB Amounts_Report'!A114,'Change in Proportion Layers'!$A$8:$A$324,0))</f>
        <v>28714</v>
      </c>
      <c r="H114" s="67">
        <f t="shared" si="4"/>
        <v>161160</v>
      </c>
      <c r="I114" s="67"/>
      <c r="J114" s="67">
        <f>ROUND(VLOOKUP(A114,'Contribution Allocation_Report'!$A$9:$D$314,4,FALSE)*'OPEB Amounts_Report'!$J$326,0)</f>
        <v>66904</v>
      </c>
      <c r="K114" s="67">
        <f>ROUND(VLOOKUP(A114,'Contribution Allocation_Report'!$A$9:$D$314,4,FALSE)*'OPEB Amounts_Report'!$K$326,0)</f>
        <v>406172</v>
      </c>
      <c r="L114" s="67">
        <f>INDEX('Change in Proportion Layers'!$AG$8:$AG$324,MATCH('OPEB Amounts_Report'!A114,'Change in Proportion Layers'!$A$8:$A$324,0))</f>
        <v>89584</v>
      </c>
      <c r="M114" s="67">
        <f t="shared" si="3"/>
        <v>562660</v>
      </c>
      <c r="N114" s="68"/>
      <c r="O114" s="68">
        <f>ROUND(VLOOKUP(A114,'Contribution Allocation_Report'!$A$9:$D$314,4,FALSE)*'OPEB Amounts_Report'!$O$326,0)</f>
        <v>-130380</v>
      </c>
      <c r="P114" s="68">
        <f>INDEX('Change in Proportion Layers'!$AD$8:$AD$324,MATCH('OPEB Amounts_Report'!A114,'Change in Proportion Layers'!$A$8:$A$324,0))</f>
        <v>-36951</v>
      </c>
      <c r="Q114" s="68">
        <f t="shared" si="5"/>
        <v>-167331</v>
      </c>
    </row>
    <row r="115" spans="1:17" ht="12" customHeight="1">
      <c r="A115" s="227">
        <v>27083</v>
      </c>
      <c r="B115" s="228" t="s">
        <v>102</v>
      </c>
      <c r="C115" s="84">
        <f>ROUND(VLOOKUP(A115,'Contribution Allocation_Report'!$A$9:$D$314,4,FALSE)*'OPEB Amounts_Report'!$C$326,0)</f>
        <v>856057</v>
      </c>
      <c r="D115" s="84">
        <f>ROUND(VLOOKUP(A115,'Contribution Allocation_Report'!$A$9:$D$314,4,FALSE)*'OPEB Amounts_Report'!$D$326,0)</f>
        <v>9174</v>
      </c>
      <c r="E115" s="84">
        <f>ROUND(VLOOKUP(A115,'Contribution Allocation_Report'!$A$9:$D$314,4,FALSE)*'OPEB Amounts_Report'!$E$326,0)</f>
        <v>7652</v>
      </c>
      <c r="F115" s="84">
        <f>ROUND(VLOOKUP(A115,'Contribution Allocation_Report'!$A$9:$D$314,4,FALSE)*'OPEB Amounts_Report'!$F$326,0)</f>
        <v>160190</v>
      </c>
      <c r="G115" s="84">
        <f>INDEX('Change in Proportion Layers'!$AF$8:$AF$324,MATCH('OPEB Amounts_Report'!A115,'Change in Proportion Layers'!$A$8:$A$324,0))</f>
        <v>34565</v>
      </c>
      <c r="H115" s="84">
        <f t="shared" si="4"/>
        <v>211581</v>
      </c>
      <c r="I115" s="84"/>
      <c r="J115" s="84">
        <f>ROUND(VLOOKUP(A115,'Contribution Allocation_Report'!$A$9:$D$314,4,FALSE)*'OPEB Amounts_Report'!$J$326,0)</f>
        <v>89419</v>
      </c>
      <c r="K115" s="84">
        <f>ROUND(VLOOKUP(A115,'Contribution Allocation_Report'!$A$9:$D$314,4,FALSE)*'OPEB Amounts_Report'!$K$326,0)</f>
        <v>542858</v>
      </c>
      <c r="L115" s="251">
        <f>INDEX('Change in Proportion Layers'!$AG$8:$AG$324,MATCH('OPEB Amounts_Report'!A115,'Change in Proportion Layers'!$A$8:$A$324,0))</f>
        <v>213350</v>
      </c>
      <c r="M115" s="84">
        <f t="shared" si="3"/>
        <v>845627</v>
      </c>
      <c r="N115" s="85"/>
      <c r="O115" s="85">
        <f>ROUND(VLOOKUP(A115,'Contribution Allocation_Report'!$A$9:$D$314,4,FALSE)*'OPEB Amounts_Report'!$O$326,0)</f>
        <v>-174256</v>
      </c>
      <c r="P115" s="85">
        <f>INDEX('Change in Proportion Layers'!$AD$8:$AD$324,MATCH('OPEB Amounts_Report'!A115,'Change in Proportion Layers'!$A$8:$A$324,0))</f>
        <v>-22013</v>
      </c>
      <c r="Q115" s="85">
        <f t="shared" si="5"/>
        <v>-196269</v>
      </c>
    </row>
    <row r="116" spans="1:17" ht="12" customHeight="1">
      <c r="A116" s="59">
        <v>7021</v>
      </c>
      <c r="B116" s="63" t="s">
        <v>103</v>
      </c>
      <c r="C116" s="67">
        <f>ROUND(VLOOKUP(A116,'Contribution Allocation_Report'!$A$9:$D$314,4,FALSE)*'OPEB Amounts_Report'!$C$326,0)</f>
        <v>31098045</v>
      </c>
      <c r="D116" s="67">
        <f>ROUND(VLOOKUP(A116,'Contribution Allocation_Report'!$A$9:$D$314,4,FALSE)*'OPEB Amounts_Report'!$D$326,0)</f>
        <v>333279</v>
      </c>
      <c r="E116" s="67">
        <f>ROUND(VLOOKUP(A116,'Contribution Allocation_Report'!$A$9:$D$314,4,FALSE)*'OPEB Amounts_Report'!$E$326,0)</f>
        <v>277986</v>
      </c>
      <c r="F116" s="67">
        <f>ROUND(VLOOKUP(A116,'Contribution Allocation_Report'!$A$9:$D$314,4,FALSE)*'OPEB Amounts_Report'!$F$326,0)</f>
        <v>5819223</v>
      </c>
      <c r="G116" s="67">
        <f>INDEX('Change in Proportion Layers'!$AF$8:$AF$324,MATCH('OPEB Amounts_Report'!A116,'Change in Proportion Layers'!$A$8:$A$324,0))</f>
        <v>1124217</v>
      </c>
      <c r="H116" s="67">
        <f t="shared" si="4"/>
        <v>7554705</v>
      </c>
      <c r="I116" s="67"/>
      <c r="J116" s="67">
        <f>ROUND(VLOOKUP(A116,'Contribution Allocation_Report'!$A$9:$D$314,4,FALSE)*'OPEB Amounts_Report'!$J$326,0)</f>
        <v>3248327</v>
      </c>
      <c r="K116" s="67">
        <f>ROUND(VLOOKUP(A116,'Contribution Allocation_Report'!$A$9:$D$314,4,FALSE)*'OPEB Amounts_Report'!$K$326,0)</f>
        <v>19720419</v>
      </c>
      <c r="L116" s="67">
        <f>INDEX('Change in Proportion Layers'!$AG$8:$AG$324,MATCH('OPEB Amounts_Report'!A116,'Change in Proportion Layers'!$A$8:$A$324,0))</f>
        <v>2173929</v>
      </c>
      <c r="M116" s="67">
        <f t="shared" si="3"/>
        <v>25142675</v>
      </c>
      <c r="N116" s="68"/>
      <c r="O116" s="68">
        <f>ROUND(VLOOKUP(A116,'Contribution Allocation_Report'!$A$9:$D$314,4,FALSE)*'OPEB Amounts_Report'!$O$326,0)</f>
        <v>-6330214</v>
      </c>
      <c r="P116" s="68">
        <f>INDEX('Change in Proportion Layers'!$AD$8:$AD$324,MATCH('OPEB Amounts_Report'!A116,'Change in Proportion Layers'!$A$8:$A$324,0))</f>
        <v>356359</v>
      </c>
      <c r="Q116" s="68">
        <f t="shared" si="5"/>
        <v>-5973855</v>
      </c>
    </row>
    <row r="117" spans="1:17" ht="12" customHeight="1">
      <c r="A117" s="227">
        <v>4140</v>
      </c>
      <c r="B117" s="228" t="s">
        <v>104</v>
      </c>
      <c r="C117" s="84">
        <f>ROUND(VLOOKUP(A117,'Contribution Allocation_Report'!$A$9:$D$314,4,FALSE)*'OPEB Amounts_Report'!$C$326,0)</f>
        <v>210977</v>
      </c>
      <c r="D117" s="84">
        <f>ROUND(VLOOKUP(A117,'Contribution Allocation_Report'!$A$9:$D$314,4,FALSE)*'OPEB Amounts_Report'!$D$326,0)</f>
        <v>2261</v>
      </c>
      <c r="E117" s="84">
        <f>ROUND(VLOOKUP(A117,'Contribution Allocation_Report'!$A$9:$D$314,4,FALSE)*'OPEB Amounts_Report'!$E$326,0)</f>
        <v>1886</v>
      </c>
      <c r="F117" s="84">
        <f>ROUND(VLOOKUP(A117,'Contribution Allocation_Report'!$A$9:$D$314,4,FALSE)*'OPEB Amounts_Report'!$F$326,0)</f>
        <v>39479</v>
      </c>
      <c r="G117" s="84">
        <f>INDEX('Change in Proportion Layers'!$AF$8:$AF$324,MATCH('OPEB Amounts_Report'!A117,'Change in Proportion Layers'!$A$8:$A$324,0))</f>
        <v>57477</v>
      </c>
      <c r="H117" s="84">
        <f t="shared" si="4"/>
        <v>101103</v>
      </c>
      <c r="I117" s="84"/>
      <c r="J117" s="84">
        <f>ROUND(VLOOKUP(A117,'Contribution Allocation_Report'!$A$9:$D$314,4,FALSE)*'OPEB Amounts_Report'!$J$326,0)</f>
        <v>22037</v>
      </c>
      <c r="K117" s="84">
        <f>ROUND(VLOOKUP(A117,'Contribution Allocation_Report'!$A$9:$D$314,4,FALSE)*'OPEB Amounts_Report'!$K$326,0)</f>
        <v>133788</v>
      </c>
      <c r="L117" s="84">
        <f>INDEX('Change in Proportion Layers'!$AG$8:$AG$324,MATCH('OPEB Amounts_Report'!A117,'Change in Proportion Layers'!$A$8:$A$324,0))</f>
        <v>43466</v>
      </c>
      <c r="M117" s="84">
        <f t="shared" si="3"/>
        <v>199291</v>
      </c>
      <c r="N117" s="85"/>
      <c r="O117" s="85">
        <f>ROUND(VLOOKUP(A117,'Contribution Allocation_Report'!$A$9:$D$314,4,FALSE)*'OPEB Amounts_Report'!$O$326,0)</f>
        <v>-42946</v>
      </c>
      <c r="P117" s="85">
        <f>INDEX('Change in Proportion Layers'!$AD$8:$AD$324,MATCH('OPEB Amounts_Report'!A117,'Change in Proportion Layers'!$A$8:$A$324,0))</f>
        <v>9778</v>
      </c>
      <c r="Q117" s="85">
        <f t="shared" si="5"/>
        <v>-33168</v>
      </c>
    </row>
    <row r="118" spans="1:17" ht="12" customHeight="1">
      <c r="A118" s="59">
        <v>13041</v>
      </c>
      <c r="B118" s="63" t="s">
        <v>105</v>
      </c>
      <c r="C118" s="67">
        <f>ROUND(VLOOKUP(A118,'Contribution Allocation_Report'!$A$9:$D$314,4,FALSE)*'OPEB Amounts_Report'!$C$326,0)</f>
        <v>28639026</v>
      </c>
      <c r="D118" s="67">
        <f>ROUND(VLOOKUP(A118,'Contribution Allocation_Report'!$A$9:$D$314,4,FALSE)*'OPEB Amounts_Report'!$D$326,0)</f>
        <v>306926</v>
      </c>
      <c r="E118" s="67">
        <f>ROUND(VLOOKUP(A118,'Contribution Allocation_Report'!$A$9:$D$314,4,FALSE)*'OPEB Amounts_Report'!$E$326,0)</f>
        <v>256005</v>
      </c>
      <c r="F118" s="67">
        <f>ROUND(VLOOKUP(A118,'Contribution Allocation_Report'!$A$9:$D$314,4,FALSE)*'OPEB Amounts_Report'!$F$326,0)</f>
        <v>5359079</v>
      </c>
      <c r="G118" s="67">
        <f>INDEX('Change in Proportion Layers'!$AF$8:$AF$324,MATCH('OPEB Amounts_Report'!A118,'Change in Proportion Layers'!$A$8:$A$324,0))</f>
        <v>1299215</v>
      </c>
      <c r="H118" s="67">
        <f t="shared" si="4"/>
        <v>7221225</v>
      </c>
      <c r="I118" s="67"/>
      <c r="J118" s="67">
        <f>ROUND(VLOOKUP(A118,'Contribution Allocation_Report'!$A$9:$D$314,4,FALSE)*'OPEB Amounts_Report'!$J$326,0)</f>
        <v>2991472</v>
      </c>
      <c r="K118" s="67">
        <f>ROUND(VLOOKUP(A118,'Contribution Allocation_Report'!$A$9:$D$314,4,FALSE)*'OPEB Amounts_Report'!$K$326,0)</f>
        <v>18161065</v>
      </c>
      <c r="L118" s="250">
        <f>INDEX('Change in Proportion Layers'!$AG$8:$AG$324,MATCH('OPEB Amounts_Report'!A118,'Change in Proportion Layers'!$A$8:$A$324,0))</f>
        <v>2908503</v>
      </c>
      <c r="M118" s="67">
        <f t="shared" si="3"/>
        <v>24061040</v>
      </c>
      <c r="N118" s="68"/>
      <c r="O118" s="68">
        <f>ROUND(VLOOKUP(A118,'Contribution Allocation_Report'!$A$9:$D$314,4,FALSE)*'OPEB Amounts_Report'!$O$326,0)</f>
        <v>-5829664</v>
      </c>
      <c r="P118" s="68">
        <f>INDEX('Change in Proportion Layers'!$AD$8:$AD$324,MATCH('OPEB Amounts_Report'!A118,'Change in Proportion Layers'!$A$8:$A$324,0))</f>
        <v>-609722</v>
      </c>
      <c r="Q118" s="68">
        <f t="shared" si="5"/>
        <v>-6439386</v>
      </c>
    </row>
    <row r="119" spans="1:17" ht="12" customHeight="1">
      <c r="A119" s="227">
        <v>2339</v>
      </c>
      <c r="B119" s="228" t="s">
        <v>106</v>
      </c>
      <c r="C119" s="84">
        <f>ROUND(VLOOKUP(A119,'Contribution Allocation_Report'!$A$9:$D$314,4,FALSE)*'OPEB Amounts_Report'!$C$326,0)</f>
        <v>420847</v>
      </c>
      <c r="D119" s="84">
        <f>ROUND(VLOOKUP(A119,'Contribution Allocation_Report'!$A$9:$D$314,4,FALSE)*'OPEB Amounts_Report'!$D$326,0)</f>
        <v>4510</v>
      </c>
      <c r="E119" s="84">
        <f>ROUND(VLOOKUP(A119,'Contribution Allocation_Report'!$A$9:$D$314,4,FALSE)*'OPEB Amounts_Report'!$E$326,0)</f>
        <v>3762</v>
      </c>
      <c r="F119" s="84">
        <f>ROUND(VLOOKUP(A119,'Contribution Allocation_Report'!$A$9:$D$314,4,FALSE)*'OPEB Amounts_Report'!$F$326,0)</f>
        <v>78751</v>
      </c>
      <c r="G119" s="84">
        <f>INDEX('Change in Proportion Layers'!$AF$8:$AF$324,MATCH('OPEB Amounts_Report'!A119,'Change in Proportion Layers'!$A$8:$A$324,0))</f>
        <v>130412</v>
      </c>
      <c r="H119" s="84">
        <f t="shared" si="4"/>
        <v>217435</v>
      </c>
      <c r="I119" s="84"/>
      <c r="J119" s="84">
        <f>ROUND(VLOOKUP(A119,'Contribution Allocation_Report'!$A$9:$D$314,4,FALSE)*'OPEB Amounts_Report'!$J$326,0)</f>
        <v>43959</v>
      </c>
      <c r="K119" s="84">
        <f>ROUND(VLOOKUP(A119,'Contribution Allocation_Report'!$A$9:$D$314,4,FALSE)*'OPEB Amounts_Report'!$K$326,0)</f>
        <v>266874</v>
      </c>
      <c r="L119" s="84">
        <f>INDEX('Change in Proportion Layers'!$AG$8:$AG$324,MATCH('OPEB Amounts_Report'!A119,'Change in Proportion Layers'!$A$8:$A$324,0))</f>
        <v>117307</v>
      </c>
      <c r="M119" s="84">
        <f t="shared" si="3"/>
        <v>428140</v>
      </c>
      <c r="N119" s="85"/>
      <c r="O119" s="85">
        <f>ROUND(VLOOKUP(A119,'Contribution Allocation_Report'!$A$9:$D$314,4,FALSE)*'OPEB Amounts_Report'!$O$326,0)</f>
        <v>-85666</v>
      </c>
      <c r="P119" s="85">
        <f>INDEX('Change in Proportion Layers'!$AD$8:$AD$324,MATCH('OPEB Amounts_Report'!A119,'Change in Proportion Layers'!$A$8:$A$324,0))</f>
        <v>-7728</v>
      </c>
      <c r="Q119" s="85">
        <f t="shared" si="5"/>
        <v>-93394</v>
      </c>
    </row>
    <row r="120" spans="1:17" ht="12" customHeight="1">
      <c r="A120" s="59">
        <v>2362</v>
      </c>
      <c r="B120" s="63" t="s">
        <v>107</v>
      </c>
      <c r="C120" s="67">
        <f>ROUND(VLOOKUP(A120,'Contribution Allocation_Report'!$A$9:$D$314,4,FALSE)*'OPEB Amounts_Report'!$C$326,0)</f>
        <v>468900</v>
      </c>
      <c r="D120" s="67">
        <f>ROUND(VLOOKUP(A120,'Contribution Allocation_Report'!$A$9:$D$314,4,FALSE)*'OPEB Amounts_Report'!$D$326,0)</f>
        <v>5025</v>
      </c>
      <c r="E120" s="67">
        <f>ROUND(VLOOKUP(A120,'Contribution Allocation_Report'!$A$9:$D$314,4,FALSE)*'OPEB Amounts_Report'!$E$326,0)</f>
        <v>4192</v>
      </c>
      <c r="F120" s="67">
        <f>ROUND(VLOOKUP(A120,'Contribution Allocation_Report'!$A$9:$D$314,4,FALSE)*'OPEB Amounts_Report'!$F$326,0)</f>
        <v>87743</v>
      </c>
      <c r="G120" s="67">
        <f>INDEX('Change in Proportion Layers'!$AF$8:$AF$324,MATCH('OPEB Amounts_Report'!A120,'Change in Proportion Layers'!$A$8:$A$324,0))</f>
        <v>66023</v>
      </c>
      <c r="H120" s="67">
        <f t="shared" si="4"/>
        <v>162983</v>
      </c>
      <c r="I120" s="67"/>
      <c r="J120" s="67">
        <f>ROUND(VLOOKUP(A120,'Contribution Allocation_Report'!$A$9:$D$314,4,FALSE)*'OPEB Amounts_Report'!$J$326,0)</f>
        <v>48979</v>
      </c>
      <c r="K120" s="67">
        <f>ROUND(VLOOKUP(A120,'Contribution Allocation_Report'!$A$9:$D$314,4,FALSE)*'OPEB Amounts_Report'!$K$326,0)</f>
        <v>297347</v>
      </c>
      <c r="L120" s="67">
        <f>INDEX('Change in Proportion Layers'!$AG$8:$AG$324,MATCH('OPEB Amounts_Report'!A120,'Change in Proportion Layers'!$A$8:$A$324,0))</f>
        <v>395620</v>
      </c>
      <c r="M120" s="67">
        <f t="shared" si="3"/>
        <v>741946</v>
      </c>
      <c r="N120" s="68"/>
      <c r="O120" s="68">
        <f>ROUND(VLOOKUP(A120,'Contribution Allocation_Report'!$A$9:$D$314,4,FALSE)*'OPEB Amounts_Report'!$O$326,0)</f>
        <v>-95448</v>
      </c>
      <c r="P120" s="68">
        <f>INDEX('Change in Proportion Layers'!$AD$8:$AD$324,MATCH('OPEB Amounts_Report'!A120,'Change in Proportion Layers'!$A$8:$A$324,0))</f>
        <v>-137628</v>
      </c>
      <c r="Q120" s="68">
        <f t="shared" si="5"/>
        <v>-233076</v>
      </c>
    </row>
    <row r="121" spans="1:17" ht="12" customHeight="1">
      <c r="A121" s="227">
        <v>5013</v>
      </c>
      <c r="B121" s="228" t="s">
        <v>108</v>
      </c>
      <c r="C121" s="84">
        <f>ROUND(VLOOKUP(A121,'Contribution Allocation_Report'!$A$9:$D$314,4,FALSE)*'OPEB Amounts_Report'!$C$326,0)</f>
        <v>505392</v>
      </c>
      <c r="D121" s="84">
        <f>ROUND(VLOOKUP(A121,'Contribution Allocation_Report'!$A$9:$D$314,4,FALSE)*'OPEB Amounts_Report'!$D$326,0)</f>
        <v>5416</v>
      </c>
      <c r="E121" s="84">
        <f>ROUND(VLOOKUP(A121,'Contribution Allocation_Report'!$A$9:$D$314,4,FALSE)*'OPEB Amounts_Report'!$E$326,0)</f>
        <v>4518</v>
      </c>
      <c r="F121" s="84">
        <f>ROUND(VLOOKUP(A121,'Contribution Allocation_Report'!$A$9:$D$314,4,FALSE)*'OPEB Amounts_Report'!$F$326,0)</f>
        <v>94571</v>
      </c>
      <c r="G121" s="84">
        <f>INDEX('Change in Proportion Layers'!$AF$8:$AF$324,MATCH('OPEB Amounts_Report'!A121,'Change in Proportion Layers'!$A$8:$A$324,0))</f>
        <v>46770</v>
      </c>
      <c r="H121" s="84">
        <f t="shared" si="4"/>
        <v>151275</v>
      </c>
      <c r="I121" s="84"/>
      <c r="J121" s="84">
        <f>ROUND(VLOOKUP(A121,'Contribution Allocation_Report'!$A$9:$D$314,4,FALSE)*'OPEB Amounts_Report'!$J$326,0)</f>
        <v>52790</v>
      </c>
      <c r="K121" s="84">
        <f>ROUND(VLOOKUP(A121,'Contribution Allocation_Report'!$A$9:$D$314,4,FALSE)*'OPEB Amounts_Report'!$K$326,0)</f>
        <v>320487</v>
      </c>
      <c r="L121" s="84">
        <f>INDEX('Change in Proportion Layers'!$AG$8:$AG$324,MATCH('OPEB Amounts_Report'!A121,'Change in Proportion Layers'!$A$8:$A$324,0))</f>
        <v>56262</v>
      </c>
      <c r="M121" s="84">
        <f t="shared" si="3"/>
        <v>429539</v>
      </c>
      <c r="N121" s="85"/>
      <c r="O121" s="85">
        <f>ROUND(VLOOKUP(A121,'Contribution Allocation_Report'!$A$9:$D$314,4,FALSE)*'OPEB Amounts_Report'!$O$326,0)</f>
        <v>-102876</v>
      </c>
      <c r="P121" s="85">
        <f>INDEX('Change in Proportion Layers'!$AD$8:$AD$324,MATCH('OPEB Amounts_Report'!A121,'Change in Proportion Layers'!$A$8:$A$324,0))</f>
        <v>3638</v>
      </c>
      <c r="Q121" s="85">
        <f t="shared" si="5"/>
        <v>-99238</v>
      </c>
    </row>
    <row r="122" spans="1:17" ht="12" customHeight="1">
      <c r="A122" s="59">
        <v>3110</v>
      </c>
      <c r="B122" s="63" t="s">
        <v>109</v>
      </c>
      <c r="C122" s="67">
        <f>ROUND(VLOOKUP(A122,'Contribution Allocation_Report'!$A$9:$D$314,4,FALSE)*'OPEB Amounts_Report'!$C$326,0)</f>
        <v>2229922</v>
      </c>
      <c r="D122" s="67">
        <f>ROUND(VLOOKUP(A122,'Contribution Allocation_Report'!$A$9:$D$314,4,FALSE)*'OPEB Amounts_Report'!$D$326,0)</f>
        <v>23898</v>
      </c>
      <c r="E122" s="67">
        <f>ROUND(VLOOKUP(A122,'Contribution Allocation_Report'!$A$9:$D$314,4,FALSE)*'OPEB Amounts_Report'!$E$326,0)</f>
        <v>19933</v>
      </c>
      <c r="F122" s="67">
        <f>ROUND(VLOOKUP(A122,'Contribution Allocation_Report'!$A$9:$D$314,4,FALSE)*'OPEB Amounts_Report'!$F$326,0)</f>
        <v>417274</v>
      </c>
      <c r="G122" s="67">
        <f>INDEX('Change in Proportion Layers'!$AF$8:$AF$324,MATCH('OPEB Amounts_Report'!A122,'Change in Proportion Layers'!$A$8:$A$324,0))</f>
        <v>76103</v>
      </c>
      <c r="H122" s="67">
        <f t="shared" si="4"/>
        <v>537208</v>
      </c>
      <c r="I122" s="67"/>
      <c r="J122" s="67">
        <f>ROUND(VLOOKUP(A122,'Contribution Allocation_Report'!$A$9:$D$314,4,FALSE)*'OPEB Amounts_Report'!$J$326,0)</f>
        <v>232925</v>
      </c>
      <c r="K122" s="67">
        <f>ROUND(VLOOKUP(A122,'Contribution Allocation_Report'!$A$9:$D$314,4,FALSE)*'OPEB Amounts_Report'!$K$326,0)</f>
        <v>1414076</v>
      </c>
      <c r="L122" s="250">
        <f>INDEX('Change in Proportion Layers'!$AG$8:$AG$324,MATCH('OPEB Amounts_Report'!A122,'Change in Proportion Layers'!$A$8:$A$324,0))</f>
        <v>677252</v>
      </c>
      <c r="M122" s="67">
        <f t="shared" si="3"/>
        <v>2324253</v>
      </c>
      <c r="N122" s="68"/>
      <c r="O122" s="68">
        <f>ROUND(VLOOKUP(A122,'Contribution Allocation_Report'!$A$9:$D$314,4,FALSE)*'OPEB Amounts_Report'!$O$326,0)</f>
        <v>-453916</v>
      </c>
      <c r="P122" s="68">
        <f>INDEX('Change in Proportion Layers'!$AD$8:$AD$324,MATCH('OPEB Amounts_Report'!A122,'Change in Proportion Layers'!$A$8:$A$324,0))</f>
        <v>-251499</v>
      </c>
      <c r="Q122" s="68">
        <f t="shared" si="5"/>
        <v>-705415</v>
      </c>
    </row>
    <row r="123" spans="1:17" ht="12" customHeight="1">
      <c r="A123" s="227">
        <v>14044</v>
      </c>
      <c r="B123" s="228" t="s">
        <v>110</v>
      </c>
      <c r="C123" s="84">
        <f>ROUND(VLOOKUP(A123,'Contribution Allocation_Report'!$A$9:$D$314,4,FALSE)*'OPEB Amounts_Report'!$C$326,0)</f>
        <v>8678863</v>
      </c>
      <c r="D123" s="84">
        <f>ROUND(VLOOKUP(A123,'Contribution Allocation_Report'!$A$9:$D$314,4,FALSE)*'OPEB Amounts_Report'!$D$326,0)</f>
        <v>93012</v>
      </c>
      <c r="E123" s="84">
        <f>ROUND(VLOOKUP(A123,'Contribution Allocation_Report'!$A$9:$D$314,4,FALSE)*'OPEB Amounts_Report'!$E$326,0)</f>
        <v>77581</v>
      </c>
      <c r="F123" s="84">
        <f>ROUND(VLOOKUP(A123,'Contribution Allocation_Report'!$A$9:$D$314,4,FALSE)*'OPEB Amounts_Report'!$F$326,0)</f>
        <v>1624033</v>
      </c>
      <c r="G123" s="84">
        <f>INDEX('Change in Proportion Layers'!$AF$8:$AF$324,MATCH('OPEB Amounts_Report'!A123,'Change in Proportion Layers'!$A$8:$A$324,0))</f>
        <v>1141668</v>
      </c>
      <c r="H123" s="84">
        <f t="shared" si="4"/>
        <v>2936294</v>
      </c>
      <c r="I123" s="84"/>
      <c r="J123" s="84">
        <f>ROUND(VLOOKUP(A123,'Contribution Allocation_Report'!$A$9:$D$314,4,FALSE)*'OPEB Amounts_Report'!$J$326,0)</f>
        <v>906545</v>
      </c>
      <c r="K123" s="84">
        <f>ROUND(VLOOKUP(A123,'Contribution Allocation_Report'!$A$9:$D$314,4,FALSE)*'OPEB Amounts_Report'!$K$326,0)</f>
        <v>5503588</v>
      </c>
      <c r="L123" s="84">
        <f>INDEX('Change in Proportion Layers'!$AG$8:$AG$324,MATCH('OPEB Amounts_Report'!A123,'Change in Proportion Layers'!$A$8:$A$324,0))</f>
        <v>656354</v>
      </c>
      <c r="M123" s="84">
        <f t="shared" si="3"/>
        <v>7066487</v>
      </c>
      <c r="N123" s="85"/>
      <c r="O123" s="85">
        <f>ROUND(VLOOKUP(A123,'Contribution Allocation_Report'!$A$9:$D$314,4,FALSE)*'OPEB Amounts_Report'!$O$326,0)</f>
        <v>-1766640</v>
      </c>
      <c r="P123" s="85">
        <f>INDEX('Change in Proportion Layers'!$AD$8:$AD$324,MATCH('OPEB Amounts_Report'!A123,'Change in Proportion Layers'!$A$8:$A$324,0))</f>
        <v>125358</v>
      </c>
      <c r="Q123" s="85">
        <f t="shared" si="5"/>
        <v>-1641282</v>
      </c>
    </row>
    <row r="124" spans="1:17" ht="12" customHeight="1">
      <c r="A124" s="59">
        <v>4009</v>
      </c>
      <c r="B124" s="63" t="s">
        <v>111</v>
      </c>
      <c r="C124" s="67">
        <f>ROUND(VLOOKUP(A124,'Contribution Allocation_Report'!$A$9:$D$314,4,FALSE)*'OPEB Amounts_Report'!$C$326,0)</f>
        <v>1144530</v>
      </c>
      <c r="D124" s="67">
        <f>ROUND(VLOOKUP(A124,'Contribution Allocation_Report'!$A$9:$D$314,4,FALSE)*'OPEB Amounts_Report'!$D$326,0)</f>
        <v>12266</v>
      </c>
      <c r="E124" s="67">
        <f>ROUND(VLOOKUP(A124,'Contribution Allocation_Report'!$A$9:$D$314,4,FALSE)*'OPEB Amounts_Report'!$E$326,0)</f>
        <v>10231</v>
      </c>
      <c r="F124" s="67">
        <f>ROUND(VLOOKUP(A124,'Contribution Allocation_Report'!$A$9:$D$314,4,FALSE)*'OPEB Amounts_Report'!$F$326,0)</f>
        <v>214170</v>
      </c>
      <c r="G124" s="67">
        <f>INDEX('Change in Proportion Layers'!$AF$8:$AF$324,MATCH('OPEB Amounts_Report'!A124,'Change in Proportion Layers'!$A$8:$A$324,0))</f>
        <v>205248</v>
      </c>
      <c r="H124" s="67">
        <f t="shared" si="4"/>
        <v>441915</v>
      </c>
      <c r="I124" s="67"/>
      <c r="J124" s="67">
        <f>ROUND(VLOOKUP(A124,'Contribution Allocation_Report'!$A$9:$D$314,4,FALSE)*'OPEB Amounts_Report'!$J$326,0)</f>
        <v>119551</v>
      </c>
      <c r="K124" s="67">
        <f>ROUND(VLOOKUP(A124,'Contribution Allocation_Report'!$A$9:$D$314,4,FALSE)*'OPEB Amounts_Report'!$K$326,0)</f>
        <v>725789</v>
      </c>
      <c r="L124" s="250">
        <f>INDEX('Change in Proportion Layers'!$AG$8:$AG$324,MATCH('OPEB Amounts_Report'!A124,'Change in Proportion Layers'!$A$8:$A$324,0))</f>
        <v>205240</v>
      </c>
      <c r="M124" s="67">
        <f t="shared" si="3"/>
        <v>1050580</v>
      </c>
      <c r="N124" s="68"/>
      <c r="O124" s="68">
        <f>ROUND(VLOOKUP(A124,'Contribution Allocation_Report'!$A$9:$D$314,4,FALSE)*'OPEB Amounts_Report'!$O$326,0)</f>
        <v>-232977</v>
      </c>
      <c r="P124" s="68">
        <f>INDEX('Change in Proportion Layers'!$AD$8:$AD$324,MATCH('OPEB Amounts_Report'!A124,'Change in Proportion Layers'!$A$8:$A$324,0))</f>
        <v>-72276</v>
      </c>
      <c r="Q124" s="68">
        <f t="shared" si="5"/>
        <v>-305253</v>
      </c>
    </row>
    <row r="125" spans="1:17" ht="12" customHeight="1">
      <c r="A125" s="227">
        <v>7022</v>
      </c>
      <c r="B125" s="228" t="s">
        <v>112</v>
      </c>
      <c r="C125" s="84">
        <f>ROUND(VLOOKUP(A125,'Contribution Allocation_Report'!$A$9:$D$314,4,FALSE)*'OPEB Amounts_Report'!$C$326,0)</f>
        <v>3237300</v>
      </c>
      <c r="D125" s="84">
        <f>ROUND(VLOOKUP(A125,'Contribution Allocation_Report'!$A$9:$D$314,4,FALSE)*'OPEB Amounts_Report'!$D$326,0)</f>
        <v>34694</v>
      </c>
      <c r="E125" s="84">
        <f>ROUND(VLOOKUP(A125,'Contribution Allocation_Report'!$A$9:$D$314,4,FALSE)*'OPEB Amounts_Report'!$E$326,0)</f>
        <v>28938</v>
      </c>
      <c r="F125" s="84">
        <f>ROUND(VLOOKUP(A125,'Contribution Allocation_Report'!$A$9:$D$314,4,FALSE)*'OPEB Amounts_Report'!$F$326,0)</f>
        <v>605780</v>
      </c>
      <c r="G125" s="251">
        <f>INDEX('Change in Proportion Layers'!$AF$8:$AF$324,MATCH('OPEB Amounts_Report'!A125,'Change in Proportion Layers'!$A$8:$A$324,0))</f>
        <v>669475</v>
      </c>
      <c r="H125" s="84">
        <f t="shared" si="4"/>
        <v>1338887</v>
      </c>
      <c r="I125" s="84"/>
      <c r="J125" s="84">
        <f>ROUND(VLOOKUP(A125,'Contribution Allocation_Report'!$A$9:$D$314,4,FALSE)*'OPEB Amounts_Report'!$J$326,0)</f>
        <v>338150</v>
      </c>
      <c r="K125" s="84">
        <f>ROUND(VLOOKUP(A125,'Contribution Allocation_Report'!$A$9:$D$314,4,FALSE)*'OPEB Amounts_Report'!$K$326,0)</f>
        <v>2052892</v>
      </c>
      <c r="L125" s="84">
        <f>INDEX('Change in Proportion Layers'!$AG$8:$AG$324,MATCH('OPEB Amounts_Report'!A125,'Change in Proportion Layers'!$A$8:$A$324,0))</f>
        <v>366332</v>
      </c>
      <c r="M125" s="84">
        <f t="shared" si="3"/>
        <v>2757374</v>
      </c>
      <c r="N125" s="85"/>
      <c r="O125" s="85">
        <f>ROUND(VLOOKUP(A125,'Contribution Allocation_Report'!$A$9:$D$314,4,FALSE)*'OPEB Amounts_Report'!$O$326,0)</f>
        <v>-658974</v>
      </c>
      <c r="P125" s="85">
        <f>INDEX('Change in Proportion Layers'!$AD$8:$AD$324,MATCH('OPEB Amounts_Report'!A125,'Change in Proportion Layers'!$A$8:$A$324,0))</f>
        <v>157131</v>
      </c>
      <c r="Q125" s="85">
        <f t="shared" si="5"/>
        <v>-501843</v>
      </c>
    </row>
    <row r="126" spans="1:17" ht="12" customHeight="1">
      <c r="A126" s="59">
        <v>2430</v>
      </c>
      <c r="B126" s="63" t="s">
        <v>113</v>
      </c>
      <c r="C126" s="67">
        <f>ROUND(VLOOKUP(A126,'Contribution Allocation_Report'!$A$9:$D$314,4,FALSE)*'OPEB Amounts_Report'!$C$326,0)</f>
        <v>417427</v>
      </c>
      <c r="D126" s="67">
        <f>ROUND(VLOOKUP(A126,'Contribution Allocation_Report'!$A$9:$D$314,4,FALSE)*'OPEB Amounts_Report'!$D$326,0)</f>
        <v>4474</v>
      </c>
      <c r="E126" s="67">
        <f>ROUND(VLOOKUP(A126,'Contribution Allocation_Report'!$A$9:$D$314,4,FALSE)*'OPEB Amounts_Report'!$E$326,0)</f>
        <v>3731</v>
      </c>
      <c r="F126" s="67">
        <f>ROUND(VLOOKUP(A126,'Contribution Allocation_Report'!$A$9:$D$314,4,FALSE)*'OPEB Amounts_Report'!$F$326,0)</f>
        <v>78111</v>
      </c>
      <c r="G126" s="67">
        <f>INDEX('Change in Proportion Layers'!$AF$8:$AF$324,MATCH('OPEB Amounts_Report'!A126,'Change in Proportion Layers'!$A$8:$A$324,0))</f>
        <v>0</v>
      </c>
      <c r="H126" s="67">
        <f t="shared" si="4"/>
        <v>86316</v>
      </c>
      <c r="I126" s="67"/>
      <c r="J126" s="67">
        <f>ROUND(VLOOKUP(A126,'Contribution Allocation_Report'!$A$9:$D$314,4,FALSE)*'OPEB Amounts_Report'!$J$326,0)</f>
        <v>43602</v>
      </c>
      <c r="K126" s="67">
        <f>ROUND(VLOOKUP(A126,'Contribution Allocation_Report'!$A$9:$D$314,4,FALSE)*'OPEB Amounts_Report'!$K$326,0)</f>
        <v>264706</v>
      </c>
      <c r="L126" s="250">
        <f>INDEX('Change in Proportion Layers'!$AG$8:$AG$324,MATCH('OPEB Amounts_Report'!A126,'Change in Proportion Layers'!$A$8:$A$324,0))</f>
        <v>122482</v>
      </c>
      <c r="M126" s="67">
        <f t="shared" si="3"/>
        <v>430790</v>
      </c>
      <c r="N126" s="68"/>
      <c r="O126" s="68">
        <f>ROUND(VLOOKUP(A126,'Contribution Allocation_Report'!$A$9:$D$314,4,FALSE)*'OPEB Amounts_Report'!$O$326,0)</f>
        <v>-84970</v>
      </c>
      <c r="P126" s="68">
        <f>INDEX('Change in Proportion Layers'!$AD$8:$AD$324,MATCH('OPEB Amounts_Report'!A126,'Change in Proportion Layers'!$A$8:$A$324,0))</f>
        <v>-60134</v>
      </c>
      <c r="Q126" s="68">
        <f t="shared" si="5"/>
        <v>-145104</v>
      </c>
    </row>
    <row r="127" spans="1:17" ht="12" customHeight="1">
      <c r="A127" s="227">
        <v>9150</v>
      </c>
      <c r="B127" s="228" t="s">
        <v>114</v>
      </c>
      <c r="C127" s="84">
        <f>ROUND(VLOOKUP(A127,'Contribution Allocation_Report'!$A$9:$D$314,4,FALSE)*'OPEB Amounts_Report'!$C$326,0)</f>
        <v>234100</v>
      </c>
      <c r="D127" s="84">
        <f>ROUND(VLOOKUP(A127,'Contribution Allocation_Report'!$A$9:$D$314,4,FALSE)*'OPEB Amounts_Report'!$D$326,0)</f>
        <v>2509</v>
      </c>
      <c r="E127" s="84">
        <f>ROUND(VLOOKUP(A127,'Contribution Allocation_Report'!$A$9:$D$314,4,FALSE)*'OPEB Amounts_Report'!$E$326,0)</f>
        <v>2093</v>
      </c>
      <c r="F127" s="84">
        <f>ROUND(VLOOKUP(A127,'Contribution Allocation_Report'!$A$9:$D$314,4,FALSE)*'OPEB Amounts_Report'!$F$326,0)</f>
        <v>43806</v>
      </c>
      <c r="G127" s="251">
        <f>INDEX('Change in Proportion Layers'!$AF$8:$AF$324,MATCH('OPEB Amounts_Report'!A127,'Change in Proportion Layers'!$A$8:$A$324,0))</f>
        <v>39573</v>
      </c>
      <c r="H127" s="84">
        <f t="shared" si="4"/>
        <v>87981</v>
      </c>
      <c r="I127" s="84"/>
      <c r="J127" s="84">
        <f>ROUND(VLOOKUP(A127,'Contribution Allocation_Report'!$A$9:$D$314,4,FALSE)*'OPEB Amounts_Report'!$J$326,0)</f>
        <v>24453</v>
      </c>
      <c r="K127" s="84">
        <f>ROUND(VLOOKUP(A127,'Contribution Allocation_Report'!$A$9:$D$314,4,FALSE)*'OPEB Amounts_Report'!$K$326,0)</f>
        <v>148451</v>
      </c>
      <c r="L127" s="84">
        <f>INDEX('Change in Proportion Layers'!$AG$8:$AG$324,MATCH('OPEB Amounts_Report'!A127,'Change in Proportion Layers'!$A$8:$A$324,0))</f>
        <v>184372</v>
      </c>
      <c r="M127" s="84">
        <f t="shared" si="3"/>
        <v>357276</v>
      </c>
      <c r="N127" s="85"/>
      <c r="O127" s="85">
        <f>ROUND(VLOOKUP(A127,'Contribution Allocation_Report'!$A$9:$D$314,4,FALSE)*'OPEB Amounts_Report'!$O$326,0)</f>
        <v>-47653</v>
      </c>
      <c r="P127" s="85">
        <f>INDEX('Change in Proportion Layers'!$AD$8:$AD$324,MATCH('OPEB Amounts_Report'!A127,'Change in Proportion Layers'!$A$8:$A$324,0))</f>
        <v>-162202</v>
      </c>
      <c r="Q127" s="85">
        <f t="shared" si="5"/>
        <v>-209855</v>
      </c>
    </row>
    <row r="128" spans="1:17" ht="12" customHeight="1">
      <c r="A128" s="59">
        <v>6017</v>
      </c>
      <c r="B128" s="63" t="s">
        <v>115</v>
      </c>
      <c r="C128" s="67">
        <f>ROUND(VLOOKUP(A128,'Contribution Allocation_Report'!$A$9:$D$314,4,FALSE)*'OPEB Amounts_Report'!$C$326,0)</f>
        <v>22438562</v>
      </c>
      <c r="D128" s="67">
        <f>ROUND(VLOOKUP(A128,'Contribution Allocation_Report'!$A$9:$D$314,4,FALSE)*'OPEB Amounts_Report'!$D$326,0)</f>
        <v>240475</v>
      </c>
      <c r="E128" s="67">
        <f>ROUND(VLOOKUP(A128,'Contribution Allocation_Report'!$A$9:$D$314,4,FALSE)*'OPEB Amounts_Report'!$E$326,0)</f>
        <v>200579</v>
      </c>
      <c r="F128" s="67">
        <f>ROUND(VLOOKUP(A128,'Contribution Allocation_Report'!$A$9:$D$314,4,FALSE)*'OPEB Amounts_Report'!$F$326,0)</f>
        <v>4198817</v>
      </c>
      <c r="G128" s="67">
        <f>INDEX('Change in Proportion Layers'!$AF$8:$AF$324,MATCH('OPEB Amounts_Report'!A128,'Change in Proportion Layers'!$A$8:$A$324,0))</f>
        <v>3303328</v>
      </c>
      <c r="H128" s="67">
        <f t="shared" si="4"/>
        <v>7943199</v>
      </c>
      <c r="I128" s="67"/>
      <c r="J128" s="67">
        <f>ROUND(VLOOKUP(A128,'Contribution Allocation_Report'!$A$9:$D$314,4,FALSE)*'OPEB Amounts_Report'!$J$326,0)</f>
        <v>2343806</v>
      </c>
      <c r="K128" s="67">
        <f>ROUND(VLOOKUP(A128,'Contribution Allocation_Report'!$A$9:$D$314,4,FALSE)*'OPEB Amounts_Report'!$K$326,0)</f>
        <v>14229122</v>
      </c>
      <c r="L128" s="250">
        <f>INDEX('Change in Proportion Layers'!$AG$8:$AG$324,MATCH('OPEB Amounts_Report'!A128,'Change in Proportion Layers'!$A$8:$A$324,0))</f>
        <v>1856910</v>
      </c>
      <c r="M128" s="67">
        <f t="shared" si="3"/>
        <v>18429838</v>
      </c>
      <c r="N128" s="68"/>
      <c r="O128" s="68">
        <f>ROUND(VLOOKUP(A128,'Contribution Allocation_Report'!$A$9:$D$314,4,FALSE)*'OPEB Amounts_Report'!$O$326,0)</f>
        <v>-4567518</v>
      </c>
      <c r="P128" s="68">
        <f>INDEX('Change in Proportion Layers'!$AD$8:$AD$324,MATCH('OPEB Amounts_Report'!A128,'Change in Proportion Layers'!$A$8:$A$324,0))</f>
        <v>1282498</v>
      </c>
      <c r="Q128" s="68">
        <f t="shared" si="5"/>
        <v>-3285020</v>
      </c>
    </row>
    <row r="129" spans="1:17" ht="12" customHeight="1">
      <c r="A129" s="227">
        <v>26080</v>
      </c>
      <c r="B129" s="228" t="s">
        <v>116</v>
      </c>
      <c r="C129" s="84">
        <f>ROUND(VLOOKUP(A129,'Contribution Allocation_Report'!$A$9:$D$314,4,FALSE)*'OPEB Amounts_Report'!$C$326,0)</f>
        <v>664447</v>
      </c>
      <c r="D129" s="84">
        <f>ROUND(VLOOKUP(A129,'Contribution Allocation_Report'!$A$9:$D$314,4,FALSE)*'OPEB Amounts_Report'!$D$326,0)</f>
        <v>7121</v>
      </c>
      <c r="E129" s="84">
        <f>ROUND(VLOOKUP(A129,'Contribution Allocation_Report'!$A$9:$D$314,4,FALSE)*'OPEB Amounts_Report'!$E$326,0)</f>
        <v>5940</v>
      </c>
      <c r="F129" s="84">
        <f>ROUND(VLOOKUP(A129,'Contribution Allocation_Report'!$A$9:$D$314,4,FALSE)*'OPEB Amounts_Report'!$F$326,0)</f>
        <v>124335</v>
      </c>
      <c r="G129" s="84">
        <f>INDEX('Change in Proportion Layers'!$AF$8:$AF$324,MATCH('OPEB Amounts_Report'!A129,'Change in Proportion Layers'!$A$8:$A$324,0))</f>
        <v>155691</v>
      </c>
      <c r="H129" s="84">
        <f t="shared" si="4"/>
        <v>293087</v>
      </c>
      <c r="I129" s="84"/>
      <c r="J129" s="84">
        <f>ROUND(VLOOKUP(A129,'Contribution Allocation_Report'!$A$9:$D$314,4,FALSE)*'OPEB Amounts_Report'!$J$326,0)</f>
        <v>69404</v>
      </c>
      <c r="K129" s="84">
        <f>ROUND(VLOOKUP(A129,'Contribution Allocation_Report'!$A$9:$D$314,4,FALSE)*'OPEB Amounts_Report'!$K$326,0)</f>
        <v>421351</v>
      </c>
      <c r="L129" s="84">
        <f>INDEX('Change in Proportion Layers'!$AG$8:$AG$324,MATCH('OPEB Amounts_Report'!A129,'Change in Proportion Layers'!$A$8:$A$324,0))</f>
        <v>76593</v>
      </c>
      <c r="M129" s="84">
        <f t="shared" si="3"/>
        <v>567348</v>
      </c>
      <c r="N129" s="85"/>
      <c r="O129" s="85">
        <f>ROUND(VLOOKUP(A129,'Contribution Allocation_Report'!$A$9:$D$314,4,FALSE)*'OPEB Amounts_Report'!$O$326,0)</f>
        <v>-135253</v>
      </c>
      <c r="P129" s="85">
        <f>INDEX('Change in Proportion Layers'!$AD$8:$AD$324,MATCH('OPEB Amounts_Report'!A129,'Change in Proportion Layers'!$A$8:$A$324,0))</f>
        <v>42382</v>
      </c>
      <c r="Q129" s="85">
        <f t="shared" si="5"/>
        <v>-92871</v>
      </c>
    </row>
    <row r="130" spans="1:17" ht="12" customHeight="1">
      <c r="A130" s="59">
        <v>2327</v>
      </c>
      <c r="B130" s="63" t="s">
        <v>117</v>
      </c>
      <c r="C130" s="67">
        <f>ROUND(VLOOKUP(A130,'Contribution Allocation_Report'!$A$9:$D$314,4,FALSE)*'OPEB Amounts_Report'!$C$326,0)</f>
        <v>830062</v>
      </c>
      <c r="D130" s="67">
        <f>ROUND(VLOOKUP(A130,'Contribution Allocation_Report'!$A$9:$D$314,4,FALSE)*'OPEB Amounts_Report'!$D$326,0)</f>
        <v>8896</v>
      </c>
      <c r="E130" s="67">
        <f>ROUND(VLOOKUP(A130,'Contribution Allocation_Report'!$A$9:$D$314,4,FALSE)*'OPEB Amounts_Report'!$E$326,0)</f>
        <v>7420</v>
      </c>
      <c r="F130" s="67">
        <f>ROUND(VLOOKUP(A130,'Contribution Allocation_Report'!$A$9:$D$314,4,FALSE)*'OPEB Amounts_Report'!$F$326,0)</f>
        <v>155325</v>
      </c>
      <c r="G130" s="67">
        <f>INDEX('Change in Proportion Layers'!$AF$8:$AF$324,MATCH('OPEB Amounts_Report'!A130,'Change in Proportion Layers'!$A$8:$A$324,0))</f>
        <v>105565</v>
      </c>
      <c r="H130" s="67">
        <f t="shared" si="4"/>
        <v>277206</v>
      </c>
      <c r="I130" s="67"/>
      <c r="J130" s="67">
        <f>ROUND(VLOOKUP(A130,'Contribution Allocation_Report'!$A$9:$D$314,4,FALSE)*'OPEB Amounts_Report'!$J$326,0)</f>
        <v>86704</v>
      </c>
      <c r="K130" s="67">
        <f>ROUND(VLOOKUP(A130,'Contribution Allocation_Report'!$A$9:$D$314,4,FALSE)*'OPEB Amounts_Report'!$K$326,0)</f>
        <v>526373</v>
      </c>
      <c r="L130" s="67">
        <f>INDEX('Change in Proportion Layers'!$AG$8:$AG$324,MATCH('OPEB Amounts_Report'!A130,'Change in Proportion Layers'!$A$8:$A$324,0))</f>
        <v>70823</v>
      </c>
      <c r="M130" s="67">
        <f t="shared" si="3"/>
        <v>683900</v>
      </c>
      <c r="N130" s="68"/>
      <c r="O130" s="68">
        <f>ROUND(VLOOKUP(A130,'Contribution Allocation_Report'!$A$9:$D$314,4,FALSE)*'OPEB Amounts_Report'!$O$326,0)</f>
        <v>-168965</v>
      </c>
      <c r="P130" s="68">
        <f>INDEX('Change in Proportion Layers'!$AD$8:$AD$324,MATCH('OPEB Amounts_Report'!A130,'Change in Proportion Layers'!$A$8:$A$324,0))</f>
        <v>7036</v>
      </c>
      <c r="Q130" s="68">
        <f t="shared" si="5"/>
        <v>-161929</v>
      </c>
    </row>
    <row r="131" spans="1:17" ht="12" customHeight="1">
      <c r="A131" s="227">
        <v>10119</v>
      </c>
      <c r="B131" s="228" t="s">
        <v>118</v>
      </c>
      <c r="C131" s="84">
        <f>ROUND(VLOOKUP(A131,'Contribution Allocation_Report'!$A$9:$D$314,4,FALSE)*'OPEB Amounts_Report'!$C$326,0)</f>
        <v>381524</v>
      </c>
      <c r="D131" s="84">
        <f>ROUND(VLOOKUP(A131,'Contribution Allocation_Report'!$A$9:$D$314,4,FALSE)*'OPEB Amounts_Report'!$D$326,0)</f>
        <v>4089</v>
      </c>
      <c r="E131" s="84">
        <f>ROUND(VLOOKUP(A131,'Contribution Allocation_Report'!$A$9:$D$314,4,FALSE)*'OPEB Amounts_Report'!$E$326,0)</f>
        <v>3410</v>
      </c>
      <c r="F131" s="84">
        <f>ROUND(VLOOKUP(A131,'Contribution Allocation_Report'!$A$9:$D$314,4,FALSE)*'OPEB Amounts_Report'!$F$326,0)</f>
        <v>71393</v>
      </c>
      <c r="G131" s="84">
        <f>INDEX('Change in Proportion Layers'!$AF$8:$AF$324,MATCH('OPEB Amounts_Report'!A131,'Change in Proportion Layers'!$A$8:$A$324,0))</f>
        <v>59992</v>
      </c>
      <c r="H131" s="84">
        <f t="shared" si="4"/>
        <v>138884</v>
      </c>
      <c r="I131" s="84"/>
      <c r="J131" s="84">
        <f>ROUND(VLOOKUP(A131,'Contribution Allocation_Report'!$A$9:$D$314,4,FALSE)*'OPEB Amounts_Report'!$J$326,0)</f>
        <v>39852</v>
      </c>
      <c r="K131" s="84">
        <f>ROUND(VLOOKUP(A131,'Contribution Allocation_Report'!$A$9:$D$314,4,FALSE)*'OPEB Amounts_Report'!$K$326,0)</f>
        <v>241939</v>
      </c>
      <c r="L131" s="84">
        <f>INDEX('Change in Proportion Layers'!$AG$8:$AG$324,MATCH('OPEB Amounts_Report'!A131,'Change in Proportion Layers'!$A$8:$A$324,0))</f>
        <v>129929</v>
      </c>
      <c r="M131" s="84">
        <f t="shared" si="3"/>
        <v>411720</v>
      </c>
      <c r="N131" s="85"/>
      <c r="O131" s="85">
        <f>ROUND(VLOOKUP(A131,'Contribution Allocation_Report'!$A$9:$D$314,4,FALSE)*'OPEB Amounts_Report'!$O$326,0)</f>
        <v>-77662</v>
      </c>
      <c r="P131" s="85">
        <f>INDEX('Change in Proportion Layers'!$AD$8:$AD$324,MATCH('OPEB Amounts_Report'!A131,'Change in Proportion Layers'!$A$8:$A$324,0))</f>
        <v>-27982</v>
      </c>
      <c r="Q131" s="85">
        <f t="shared" si="5"/>
        <v>-105644</v>
      </c>
    </row>
    <row r="132" spans="1:17" ht="12" customHeight="1">
      <c r="A132" s="59">
        <v>573</v>
      </c>
      <c r="B132" s="63" t="s">
        <v>399</v>
      </c>
      <c r="C132" s="67">
        <f>ROUND(VLOOKUP(A132,'Contribution Allocation_Report'!$A$9:$D$314,4,FALSE)*'OPEB Amounts_Report'!$C$326,0)</f>
        <v>1952352</v>
      </c>
      <c r="D132" s="67">
        <f>ROUND(VLOOKUP(A132,'Contribution Allocation_Report'!$A$9:$D$314,4,FALSE)*'OPEB Amounts_Report'!$D$326,0)</f>
        <v>20923</v>
      </c>
      <c r="E132" s="67">
        <f>ROUND(VLOOKUP(A132,'Contribution Allocation_Report'!$A$9:$D$314,4,FALSE)*'OPEB Amounts_Report'!$E$326,0)</f>
        <v>17452</v>
      </c>
      <c r="F132" s="67">
        <f>ROUND(VLOOKUP(A132,'Contribution Allocation_Report'!$A$9:$D$314,4,FALSE)*'OPEB Amounts_Report'!$F$326,0)</f>
        <v>365334</v>
      </c>
      <c r="G132" s="67">
        <f>INDEX('Change in Proportion Layers'!$AF$8:$AF$324,MATCH('OPEB Amounts_Report'!A132,'Change in Proportion Layers'!$A$8:$A$324,0))</f>
        <v>2050615</v>
      </c>
      <c r="H132" s="67">
        <f t="shared" si="4"/>
        <v>2454324</v>
      </c>
      <c r="I132" s="67"/>
      <c r="J132" s="67">
        <f>ROUND(VLOOKUP(A132,'Contribution Allocation_Report'!$A$9:$D$314,4,FALSE)*'OPEB Amounts_Report'!$J$326,0)</f>
        <v>203932</v>
      </c>
      <c r="K132" s="67">
        <f>ROUND(VLOOKUP(A132,'Contribution Allocation_Report'!$A$9:$D$314,4,FALSE)*'OPEB Amounts_Report'!$K$326,0)</f>
        <v>1238059</v>
      </c>
      <c r="L132" s="67">
        <f>INDEX('Change in Proportion Layers'!$AG$8:$AG$324,MATCH('OPEB Amounts_Report'!A132,'Change in Proportion Layers'!$A$8:$A$324,0))</f>
        <v>0</v>
      </c>
      <c r="M132" s="67">
        <f t="shared" si="3"/>
        <v>1441991</v>
      </c>
      <c r="N132" s="68"/>
      <c r="O132" s="68">
        <f>ROUND(VLOOKUP(A132,'Contribution Allocation_Report'!$A$9:$D$314,4,FALSE)*'OPEB Amounts_Report'!$O$326,0)</f>
        <v>-397414</v>
      </c>
      <c r="P132" s="68">
        <f>INDEX('Change in Proportion Layers'!$AD$8:$AD$324,MATCH('OPEB Amounts_Report'!A132,'Change in Proportion Layers'!$A$8:$A$324,0))</f>
        <v>737965</v>
      </c>
      <c r="Q132" s="68">
        <f t="shared" si="5"/>
        <v>340551</v>
      </c>
    </row>
    <row r="133" spans="1:17" ht="12" customHeight="1">
      <c r="A133" s="227">
        <v>2368</v>
      </c>
      <c r="B133" s="228" t="s">
        <v>119</v>
      </c>
      <c r="C133" s="84">
        <f>ROUND(VLOOKUP(A133,'Contribution Allocation_Report'!$A$9:$D$314,4,FALSE)*'OPEB Amounts_Report'!$C$326,0)</f>
        <v>803478</v>
      </c>
      <c r="D133" s="84">
        <f>ROUND(VLOOKUP(A133,'Contribution Allocation_Report'!$A$9:$D$314,4,FALSE)*'OPEB Amounts_Report'!$D$326,0)</f>
        <v>8611</v>
      </c>
      <c r="E133" s="84">
        <f>ROUND(VLOOKUP(A133,'Contribution Allocation_Report'!$A$9:$D$314,4,FALSE)*'OPEB Amounts_Report'!$E$326,0)</f>
        <v>7182</v>
      </c>
      <c r="F133" s="84">
        <f>ROUND(VLOOKUP(A133,'Contribution Allocation_Report'!$A$9:$D$314,4,FALSE)*'OPEB Amounts_Report'!$F$326,0)</f>
        <v>150351</v>
      </c>
      <c r="G133" s="84">
        <f>INDEX('Change in Proportion Layers'!$AF$8:$AF$324,MATCH('OPEB Amounts_Report'!A133,'Change in Proportion Layers'!$A$8:$A$324,0))</f>
        <v>339399</v>
      </c>
      <c r="H133" s="84">
        <f t="shared" si="4"/>
        <v>505543</v>
      </c>
      <c r="I133" s="84"/>
      <c r="J133" s="84">
        <f>ROUND(VLOOKUP(A133,'Contribution Allocation_Report'!$A$9:$D$314,4,FALSE)*'OPEB Amounts_Report'!$J$326,0)</f>
        <v>83927</v>
      </c>
      <c r="K133" s="84">
        <f>ROUND(VLOOKUP(A133,'Contribution Allocation_Report'!$A$9:$D$314,4,FALSE)*'OPEB Amounts_Report'!$K$326,0)</f>
        <v>509515</v>
      </c>
      <c r="L133" s="251">
        <f>INDEX('Change in Proportion Layers'!$AG$8:$AG$324,MATCH('OPEB Amounts_Report'!A133,'Change in Proportion Layers'!$A$8:$A$324,0))</f>
        <v>236356</v>
      </c>
      <c r="M133" s="84">
        <f t="shared" si="3"/>
        <v>829798</v>
      </c>
      <c r="N133" s="85"/>
      <c r="O133" s="85">
        <f>ROUND(VLOOKUP(A133,'Contribution Allocation_Report'!$A$9:$D$314,4,FALSE)*'OPEB Amounts_Report'!$O$326,0)</f>
        <v>-163553</v>
      </c>
      <c r="P133" s="85">
        <f>INDEX('Change in Proportion Layers'!$AD$8:$AD$324,MATCH('OPEB Amounts_Report'!A133,'Change in Proportion Layers'!$A$8:$A$324,0))</f>
        <v>38483</v>
      </c>
      <c r="Q133" s="85">
        <f t="shared" si="5"/>
        <v>-125070</v>
      </c>
    </row>
    <row r="134" spans="1:17" ht="12" customHeight="1">
      <c r="A134" s="59">
        <v>7420</v>
      </c>
      <c r="B134" s="63" t="s">
        <v>120</v>
      </c>
      <c r="C134" s="67">
        <f>ROUND(VLOOKUP(A134,'Contribution Allocation_Report'!$A$9:$D$314,4,FALSE)*'OPEB Amounts_Report'!$C$326,0)</f>
        <v>482661</v>
      </c>
      <c r="D134" s="67">
        <f>ROUND(VLOOKUP(A134,'Contribution Allocation_Report'!$A$9:$D$314,4,FALSE)*'OPEB Amounts_Report'!$D$326,0)</f>
        <v>5173</v>
      </c>
      <c r="E134" s="67">
        <f>ROUND(VLOOKUP(A134,'Contribution Allocation_Report'!$A$9:$D$314,4,FALSE)*'OPEB Amounts_Report'!$E$326,0)</f>
        <v>4315</v>
      </c>
      <c r="F134" s="67">
        <f>ROUND(VLOOKUP(A134,'Contribution Allocation_Report'!$A$9:$D$314,4,FALSE)*'OPEB Amounts_Report'!$F$326,0)</f>
        <v>90318</v>
      </c>
      <c r="G134" s="67">
        <f>INDEX('Change in Proportion Layers'!$AF$8:$AF$324,MATCH('OPEB Amounts_Report'!A134,'Change in Proportion Layers'!$A$8:$A$324,0))</f>
        <v>106048</v>
      </c>
      <c r="H134" s="67">
        <f t="shared" si="4"/>
        <v>205854</v>
      </c>
      <c r="I134" s="67"/>
      <c r="J134" s="67">
        <f>ROUND(VLOOKUP(A134,'Contribution Allocation_Report'!$A$9:$D$314,4,FALSE)*'OPEB Amounts_Report'!$J$326,0)</f>
        <v>50416</v>
      </c>
      <c r="K134" s="67">
        <f>ROUND(VLOOKUP(A134,'Contribution Allocation_Report'!$A$9:$D$314,4,FALSE)*'OPEB Amounts_Report'!$K$326,0)</f>
        <v>306073</v>
      </c>
      <c r="L134" s="250">
        <f>INDEX('Change in Proportion Layers'!$AG$8:$AG$324,MATCH('OPEB Amounts_Report'!A134,'Change in Proportion Layers'!$A$8:$A$324,0))</f>
        <v>3114</v>
      </c>
      <c r="M134" s="67">
        <f t="shared" si="3"/>
        <v>359603</v>
      </c>
      <c r="N134" s="68"/>
      <c r="O134" s="68">
        <f>ROUND(VLOOKUP(A134,'Contribution Allocation_Report'!$A$9:$D$314,4,FALSE)*'OPEB Amounts_Report'!$O$326,0)</f>
        <v>-98249</v>
      </c>
      <c r="P134" s="68">
        <f>INDEX('Change in Proportion Layers'!$AD$8:$AD$324,MATCH('OPEB Amounts_Report'!A134,'Change in Proportion Layers'!$A$8:$A$324,0))</f>
        <v>41039</v>
      </c>
      <c r="Q134" s="68">
        <f t="shared" si="5"/>
        <v>-57210</v>
      </c>
    </row>
    <row r="135" spans="1:17" ht="12" customHeight="1">
      <c r="A135" s="227">
        <v>6018</v>
      </c>
      <c r="B135" s="228" t="s">
        <v>121</v>
      </c>
      <c r="C135" s="84">
        <f>ROUND(VLOOKUP(A135,'Contribution Allocation_Report'!$A$9:$D$314,4,FALSE)*'OPEB Amounts_Report'!$C$326,0)</f>
        <v>1638935</v>
      </c>
      <c r="D135" s="84">
        <f>ROUND(VLOOKUP(A135,'Contribution Allocation_Report'!$A$9:$D$314,4,FALSE)*'OPEB Amounts_Report'!$D$326,0)</f>
        <v>17565</v>
      </c>
      <c r="E135" s="84">
        <f>ROUND(VLOOKUP(A135,'Contribution Allocation_Report'!$A$9:$D$314,4,FALSE)*'OPEB Amounts_Report'!$E$326,0)</f>
        <v>14650</v>
      </c>
      <c r="F135" s="84">
        <f>ROUND(VLOOKUP(A135,'Contribution Allocation_Report'!$A$9:$D$314,4,FALSE)*'OPEB Amounts_Report'!$F$326,0)</f>
        <v>306686</v>
      </c>
      <c r="G135" s="84">
        <f>INDEX('Change in Proportion Layers'!$AF$8:$AF$324,MATCH('OPEB Amounts_Report'!A135,'Change in Proportion Layers'!$A$8:$A$324,0))</f>
        <v>570536</v>
      </c>
      <c r="H135" s="84">
        <f t="shared" si="4"/>
        <v>909437</v>
      </c>
      <c r="I135" s="84"/>
      <c r="J135" s="84">
        <f>ROUND(VLOOKUP(A135,'Contribution Allocation_Report'!$A$9:$D$314,4,FALSE)*'OPEB Amounts_Report'!$J$326,0)</f>
        <v>171194</v>
      </c>
      <c r="K135" s="84">
        <f>ROUND(VLOOKUP(A135,'Contribution Allocation_Report'!$A$9:$D$314,4,FALSE)*'OPEB Amounts_Report'!$K$326,0)</f>
        <v>1039309</v>
      </c>
      <c r="L135" s="84">
        <f>INDEX('Change in Proportion Layers'!$AG$8:$AG$324,MATCH('OPEB Amounts_Report'!A135,'Change in Proportion Layers'!$A$8:$A$324,0))</f>
        <v>9716</v>
      </c>
      <c r="M135" s="84">
        <f t="shared" si="3"/>
        <v>1220219</v>
      </c>
      <c r="N135" s="85"/>
      <c r="O135" s="85">
        <f>ROUND(VLOOKUP(A135,'Contribution Allocation_Report'!$A$9:$D$314,4,FALSE)*'OPEB Amounts_Report'!$O$326,0)</f>
        <v>-333616</v>
      </c>
      <c r="P135" s="85">
        <f>INDEX('Change in Proportion Layers'!$AD$8:$AD$324,MATCH('OPEB Amounts_Report'!A135,'Change in Proportion Layers'!$A$8:$A$324,0))</f>
        <v>151884</v>
      </c>
      <c r="Q135" s="85">
        <f t="shared" si="5"/>
        <v>-181732</v>
      </c>
    </row>
    <row r="136" spans="1:17" ht="12" customHeight="1">
      <c r="A136" s="59">
        <v>3321</v>
      </c>
      <c r="B136" s="63" t="s">
        <v>122</v>
      </c>
      <c r="C136" s="67">
        <f>ROUND(VLOOKUP(A136,'Contribution Allocation_Report'!$A$9:$D$314,4,FALSE)*'OPEB Amounts_Report'!$C$326,0)</f>
        <v>488309</v>
      </c>
      <c r="D136" s="67">
        <f>ROUND(VLOOKUP(A136,'Contribution Allocation_Report'!$A$9:$D$314,4,FALSE)*'OPEB Amounts_Report'!$D$326,0)</f>
        <v>5233</v>
      </c>
      <c r="E136" s="67">
        <f>ROUND(VLOOKUP(A136,'Contribution Allocation_Report'!$A$9:$D$314,4,FALSE)*'OPEB Amounts_Report'!$E$326,0)</f>
        <v>4365</v>
      </c>
      <c r="F136" s="67">
        <f>ROUND(VLOOKUP(A136,'Contribution Allocation_Report'!$A$9:$D$314,4,FALSE)*'OPEB Amounts_Report'!$F$326,0)</f>
        <v>91375</v>
      </c>
      <c r="G136" s="67">
        <f>INDEX('Change in Proportion Layers'!$AF$8:$AF$324,MATCH('OPEB Amounts_Report'!A136,'Change in Proportion Layers'!$A$8:$A$324,0))</f>
        <v>162734</v>
      </c>
      <c r="H136" s="67">
        <f t="shared" si="4"/>
        <v>263707</v>
      </c>
      <c r="I136" s="67"/>
      <c r="J136" s="67">
        <f>ROUND(VLOOKUP(A136,'Contribution Allocation_Report'!$A$9:$D$314,4,FALSE)*'OPEB Amounts_Report'!$J$326,0)</f>
        <v>51006</v>
      </c>
      <c r="K136" s="67">
        <f>ROUND(VLOOKUP(A136,'Contribution Allocation_Report'!$A$9:$D$314,4,FALSE)*'OPEB Amounts_Report'!$K$326,0)</f>
        <v>309655</v>
      </c>
      <c r="L136" s="67">
        <f>INDEX('Change in Proportion Layers'!$AG$8:$AG$324,MATCH('OPEB Amounts_Report'!A136,'Change in Proportion Layers'!$A$8:$A$324,0))</f>
        <v>237711</v>
      </c>
      <c r="M136" s="67">
        <f t="shared" si="3"/>
        <v>598372</v>
      </c>
      <c r="N136" s="68"/>
      <c r="O136" s="68">
        <f>ROUND(VLOOKUP(A136,'Contribution Allocation_Report'!$A$9:$D$314,4,FALSE)*'OPEB Amounts_Report'!$O$326,0)</f>
        <v>-99398</v>
      </c>
      <c r="P136" s="68">
        <f>INDEX('Change in Proportion Layers'!$AD$8:$AD$324,MATCH('OPEB Amounts_Report'!A136,'Change in Proportion Layers'!$A$8:$A$324,0))</f>
        <v>27987</v>
      </c>
      <c r="Q136" s="68">
        <f t="shared" si="5"/>
        <v>-71411</v>
      </c>
    </row>
    <row r="137" spans="1:17" ht="12" customHeight="1">
      <c r="A137" s="227">
        <v>29122</v>
      </c>
      <c r="B137" s="228" t="s">
        <v>123</v>
      </c>
      <c r="C137" s="84">
        <f>ROUND(VLOOKUP(A137,'Contribution Allocation_Report'!$A$9:$D$314,4,FALSE)*'OPEB Amounts_Report'!$C$326,0)</f>
        <v>631235</v>
      </c>
      <c r="D137" s="84">
        <f>ROUND(VLOOKUP(A137,'Contribution Allocation_Report'!$A$9:$D$314,4,FALSE)*'OPEB Amounts_Report'!$D$326,0)</f>
        <v>6765</v>
      </c>
      <c r="E137" s="84">
        <f>ROUND(VLOOKUP(A137,'Contribution Allocation_Report'!$A$9:$D$314,4,FALSE)*'OPEB Amounts_Report'!$E$326,0)</f>
        <v>5643</v>
      </c>
      <c r="F137" s="84">
        <f>ROUND(VLOOKUP(A137,'Contribution Allocation_Report'!$A$9:$D$314,4,FALSE)*'OPEB Amounts_Report'!$F$326,0)</f>
        <v>118120</v>
      </c>
      <c r="G137" s="84">
        <f>INDEX('Change in Proportion Layers'!$AF$8:$AF$324,MATCH('OPEB Amounts_Report'!A137,'Change in Proportion Layers'!$A$8:$A$324,0))</f>
        <v>265875</v>
      </c>
      <c r="H137" s="84">
        <f t="shared" si="4"/>
        <v>396403</v>
      </c>
      <c r="I137" s="84"/>
      <c r="J137" s="84">
        <f>ROUND(VLOOKUP(A137,'Contribution Allocation_Report'!$A$9:$D$314,4,FALSE)*'OPEB Amounts_Report'!$J$326,0)</f>
        <v>65935</v>
      </c>
      <c r="K137" s="84">
        <f>ROUND(VLOOKUP(A137,'Contribution Allocation_Report'!$A$9:$D$314,4,FALSE)*'OPEB Amounts_Report'!$K$326,0)</f>
        <v>400289</v>
      </c>
      <c r="L137" s="84">
        <f>INDEX('Change in Proportion Layers'!$AG$8:$AG$324,MATCH('OPEB Amounts_Report'!A137,'Change in Proportion Layers'!$A$8:$A$324,0))</f>
        <v>451703</v>
      </c>
      <c r="M137" s="84">
        <f t="shared" si="3"/>
        <v>917927</v>
      </c>
      <c r="N137" s="85"/>
      <c r="O137" s="85">
        <f>ROUND(VLOOKUP(A137,'Contribution Allocation_Report'!$A$9:$D$314,4,FALSE)*'OPEB Amounts_Report'!$O$326,0)</f>
        <v>-128492</v>
      </c>
      <c r="P137" s="85">
        <f>INDEX('Change in Proportion Layers'!$AD$8:$AD$324,MATCH('OPEB Amounts_Report'!A137,'Change in Proportion Layers'!$A$8:$A$324,0))</f>
        <v>-41664</v>
      </c>
      <c r="Q137" s="85">
        <f t="shared" si="5"/>
        <v>-170156</v>
      </c>
    </row>
    <row r="138" spans="1:17" ht="12" customHeight="1">
      <c r="A138" s="59">
        <v>29088</v>
      </c>
      <c r="B138" s="63" t="s">
        <v>124</v>
      </c>
      <c r="C138" s="67">
        <f>ROUND(VLOOKUP(A138,'Contribution Allocation_Report'!$A$9:$D$314,4,FALSE)*'OPEB Amounts_Report'!$C$326,0)</f>
        <v>943195</v>
      </c>
      <c r="D138" s="67">
        <f>ROUND(VLOOKUP(A138,'Contribution Allocation_Report'!$A$9:$D$314,4,FALSE)*'OPEB Amounts_Report'!$D$326,0)</f>
        <v>10108</v>
      </c>
      <c r="E138" s="67">
        <f>ROUND(VLOOKUP(A138,'Contribution Allocation_Report'!$A$9:$D$314,4,FALSE)*'OPEB Amounts_Report'!$E$326,0)</f>
        <v>8431</v>
      </c>
      <c r="F138" s="67">
        <f>ROUND(VLOOKUP(A138,'Contribution Allocation_Report'!$A$9:$D$314,4,FALSE)*'OPEB Amounts_Report'!$F$326,0)</f>
        <v>176495</v>
      </c>
      <c r="G138" s="67">
        <f>INDEX('Change in Proportion Layers'!$AF$8:$AF$324,MATCH('OPEB Amounts_Report'!A138,'Change in Proportion Layers'!$A$8:$A$324,0))</f>
        <v>123698</v>
      </c>
      <c r="H138" s="67">
        <f t="shared" si="4"/>
        <v>318732</v>
      </c>
      <c r="I138" s="67"/>
      <c r="J138" s="67">
        <f>ROUND(VLOOKUP(A138,'Contribution Allocation_Report'!$A$9:$D$314,4,FALSE)*'OPEB Amounts_Report'!$J$326,0)</f>
        <v>98521</v>
      </c>
      <c r="K138" s="67">
        <f>ROUND(VLOOKUP(A138,'Contribution Allocation_Report'!$A$9:$D$314,4,FALSE)*'OPEB Amounts_Report'!$K$326,0)</f>
        <v>598115</v>
      </c>
      <c r="L138" s="67">
        <f>INDEX('Change in Proportion Layers'!$AG$8:$AG$324,MATCH('OPEB Amounts_Report'!A138,'Change in Proportion Layers'!$A$8:$A$324,0))</f>
        <v>217286</v>
      </c>
      <c r="M138" s="67">
        <f t="shared" si="3"/>
        <v>913922</v>
      </c>
      <c r="N138" s="68"/>
      <c r="O138" s="68">
        <f>ROUND(VLOOKUP(A138,'Contribution Allocation_Report'!$A$9:$D$314,4,FALSE)*'OPEB Amounts_Report'!$O$326,0)</f>
        <v>-191994</v>
      </c>
      <c r="P138" s="68">
        <f>INDEX('Change in Proportion Layers'!$AD$8:$AD$324,MATCH('OPEB Amounts_Report'!A138,'Change in Proportion Layers'!$A$8:$A$324,0))</f>
        <v>-51332</v>
      </c>
      <c r="Q138" s="68">
        <f t="shared" si="5"/>
        <v>-243326</v>
      </c>
    </row>
    <row r="139" spans="1:17" ht="12" customHeight="1">
      <c r="A139" s="227">
        <v>7337</v>
      </c>
      <c r="B139" s="228" t="s">
        <v>125</v>
      </c>
      <c r="C139" s="84">
        <f>ROUND(VLOOKUP(A139,'Contribution Allocation_Report'!$A$9:$D$314,4,FALSE)*'OPEB Amounts_Report'!$C$326,0)</f>
        <v>187111</v>
      </c>
      <c r="D139" s="84">
        <f>ROUND(VLOOKUP(A139,'Contribution Allocation_Report'!$A$9:$D$314,4,FALSE)*'OPEB Amounts_Report'!$D$326,0)</f>
        <v>2005</v>
      </c>
      <c r="E139" s="84">
        <f>ROUND(VLOOKUP(A139,'Contribution Allocation_Report'!$A$9:$D$314,4,FALSE)*'OPEB Amounts_Report'!$E$326,0)</f>
        <v>1673</v>
      </c>
      <c r="F139" s="84">
        <f>ROUND(VLOOKUP(A139,'Contribution Allocation_Report'!$A$9:$D$314,4,FALSE)*'OPEB Amounts_Report'!$F$326,0)</f>
        <v>35013</v>
      </c>
      <c r="G139" s="84">
        <f>INDEX('Change in Proportion Layers'!$AF$8:$AF$324,MATCH('OPEB Amounts_Report'!A139,'Change in Proportion Layers'!$A$8:$A$324,0))</f>
        <v>61526</v>
      </c>
      <c r="H139" s="84">
        <f t="shared" si="4"/>
        <v>100217</v>
      </c>
      <c r="I139" s="84"/>
      <c r="J139" s="84">
        <f>ROUND(VLOOKUP(A139,'Contribution Allocation_Report'!$A$9:$D$314,4,FALSE)*'OPEB Amounts_Report'!$J$326,0)</f>
        <v>19545</v>
      </c>
      <c r="K139" s="84">
        <f>ROUND(VLOOKUP(A139,'Contribution Allocation_Report'!$A$9:$D$314,4,FALSE)*'OPEB Amounts_Report'!$K$326,0)</f>
        <v>118654</v>
      </c>
      <c r="L139" s="251">
        <f>INDEX('Change in Proportion Layers'!$AG$8:$AG$324,MATCH('OPEB Amounts_Report'!A139,'Change in Proportion Layers'!$A$8:$A$324,0))</f>
        <v>220384</v>
      </c>
      <c r="M139" s="84">
        <f t="shared" ref="M139:M202" si="8">SUM(J139:L139)</f>
        <v>358583</v>
      </c>
      <c r="N139" s="85"/>
      <c r="O139" s="85">
        <f>ROUND(VLOOKUP(A139,'Contribution Allocation_Report'!$A$9:$D$314,4,FALSE)*'OPEB Amounts_Report'!$O$326,0)</f>
        <v>-38088</v>
      </c>
      <c r="P139" s="85">
        <f>INDEX('Change in Proportion Layers'!$AD$8:$AD$324,MATCH('OPEB Amounts_Report'!A139,'Change in Proportion Layers'!$A$8:$A$324,0))</f>
        <v>-70570</v>
      </c>
      <c r="Q139" s="85">
        <f t="shared" si="5"/>
        <v>-108658</v>
      </c>
    </row>
    <row r="140" spans="1:17" ht="12" customHeight="1">
      <c r="A140" s="59">
        <v>2329</v>
      </c>
      <c r="B140" s="63" t="s">
        <v>126</v>
      </c>
      <c r="C140" s="67">
        <f>ROUND(VLOOKUP(A140,'Contribution Allocation_Report'!$A$9:$D$314,4,FALSE)*'OPEB Amounts_Report'!$C$326,0)</f>
        <v>638900</v>
      </c>
      <c r="D140" s="67">
        <f>ROUND(VLOOKUP(A140,'Contribution Allocation_Report'!$A$9:$D$314,4,FALSE)*'OPEB Amounts_Report'!$D$326,0)</f>
        <v>6847</v>
      </c>
      <c r="E140" s="67">
        <f>ROUND(VLOOKUP(A140,'Contribution Allocation_Report'!$A$9:$D$314,4,FALSE)*'OPEB Amounts_Report'!$E$326,0)</f>
        <v>5711</v>
      </c>
      <c r="F140" s="67">
        <f>ROUND(VLOOKUP(A140,'Contribution Allocation_Report'!$A$9:$D$314,4,FALSE)*'OPEB Amounts_Report'!$F$326,0)</f>
        <v>119554</v>
      </c>
      <c r="G140" s="67">
        <f>INDEX('Change in Proportion Layers'!$AF$8:$AF$324,MATCH('OPEB Amounts_Report'!A140,'Change in Proportion Layers'!$A$8:$A$324,0))</f>
        <v>77731</v>
      </c>
      <c r="H140" s="67">
        <f t="shared" ref="H140:H203" si="9">SUM(D140:G140)</f>
        <v>209843</v>
      </c>
      <c r="I140" s="67"/>
      <c r="J140" s="67">
        <f>ROUND(VLOOKUP(A140,'Contribution Allocation_Report'!$A$9:$D$314,4,FALSE)*'OPEB Amounts_Report'!$J$326,0)</f>
        <v>66736</v>
      </c>
      <c r="K140" s="67">
        <f>ROUND(VLOOKUP(A140,'Contribution Allocation_Report'!$A$9:$D$314,4,FALSE)*'OPEB Amounts_Report'!$K$326,0)</f>
        <v>405150</v>
      </c>
      <c r="L140" s="250">
        <f>INDEX('Change in Proportion Layers'!$AG$8:$AG$324,MATCH('OPEB Amounts_Report'!A140,'Change in Proportion Layers'!$A$8:$A$324,0))</f>
        <v>406621</v>
      </c>
      <c r="M140" s="67">
        <f t="shared" si="8"/>
        <v>878507</v>
      </c>
      <c r="N140" s="68"/>
      <c r="O140" s="68">
        <f>ROUND(VLOOKUP(A140,'Contribution Allocation_Report'!$A$9:$D$314,4,FALSE)*'OPEB Amounts_Report'!$O$326,0)</f>
        <v>-130052</v>
      </c>
      <c r="P140" s="68">
        <f>INDEX('Change in Proportion Layers'!$AD$8:$AD$324,MATCH('OPEB Amounts_Report'!A140,'Change in Proportion Layers'!$A$8:$A$324,0))</f>
        <v>-167998</v>
      </c>
      <c r="Q140" s="68">
        <f t="shared" ref="Q140:Q202" si="10">+O140+P140</f>
        <v>-298050</v>
      </c>
    </row>
    <row r="141" spans="1:17" ht="12" customHeight="1">
      <c r="A141" s="227">
        <v>4010</v>
      </c>
      <c r="B141" s="228" t="s">
        <v>129</v>
      </c>
      <c r="C141" s="84">
        <f>ROUND(VLOOKUP(A141,'Contribution Allocation_Report'!$A$9:$D$314,4,FALSE)*'OPEB Amounts_Report'!$C$326,0)</f>
        <v>529944</v>
      </c>
      <c r="D141" s="84">
        <f>ROUND(VLOOKUP(A141,'Contribution Allocation_Report'!$A$9:$D$314,4,FALSE)*'OPEB Amounts_Report'!$D$326,0)</f>
        <v>5679</v>
      </c>
      <c r="E141" s="84">
        <f>ROUND(VLOOKUP(A141,'Contribution Allocation_Report'!$A$9:$D$314,4,FALSE)*'OPEB Amounts_Report'!$E$326,0)</f>
        <v>4737</v>
      </c>
      <c r="F141" s="84">
        <f>ROUND(VLOOKUP(A141,'Contribution Allocation_Report'!$A$9:$D$314,4,FALSE)*'OPEB Amounts_Report'!$F$326,0)</f>
        <v>99166</v>
      </c>
      <c r="G141" s="84">
        <f>INDEX('Change in Proportion Layers'!$AF$8:$AF$324,MATCH('OPEB Amounts_Report'!A141,'Change in Proportion Layers'!$A$8:$A$324,0))</f>
        <v>130046</v>
      </c>
      <c r="H141" s="84">
        <f t="shared" si="9"/>
        <v>239628</v>
      </c>
      <c r="I141" s="84"/>
      <c r="J141" s="84">
        <f>ROUND(VLOOKUP(A141,'Contribution Allocation_Report'!$A$9:$D$314,4,FALSE)*'OPEB Amounts_Report'!$J$326,0)</f>
        <v>55355</v>
      </c>
      <c r="K141" s="84">
        <f>ROUND(VLOOKUP(A141,'Contribution Allocation_Report'!$A$9:$D$314,4,FALSE)*'OPEB Amounts_Report'!$K$326,0)</f>
        <v>336057</v>
      </c>
      <c r="L141" s="84">
        <f>INDEX('Change in Proportion Layers'!$AG$8:$AG$324,MATCH('OPEB Amounts_Report'!A141,'Change in Proportion Layers'!$A$8:$A$324,0))</f>
        <v>0</v>
      </c>
      <c r="M141" s="84">
        <f t="shared" si="8"/>
        <v>391412</v>
      </c>
      <c r="N141" s="85"/>
      <c r="O141" s="85">
        <f>ROUND(VLOOKUP(A141,'Contribution Allocation_Report'!$A$9:$D$314,4,FALSE)*'OPEB Amounts_Report'!$O$326,0)</f>
        <v>-107874</v>
      </c>
      <c r="P141" s="85">
        <f>INDEX('Change in Proportion Layers'!$AD$8:$AD$324,MATCH('OPEB Amounts_Report'!A141,'Change in Proportion Layers'!$A$8:$A$324,0))</f>
        <v>53188</v>
      </c>
      <c r="Q141" s="85">
        <f t="shared" si="10"/>
        <v>-54686</v>
      </c>
    </row>
    <row r="142" spans="1:17" ht="12" customHeight="1">
      <c r="A142" s="59">
        <v>7023</v>
      </c>
      <c r="B142" s="63" t="s">
        <v>421</v>
      </c>
      <c r="C142" s="67">
        <f>ROUND(VLOOKUP(A142,'Contribution Allocation_Report'!$A$9:$D$314,4,FALSE)*'OPEB Amounts_Report'!$C$326,0)</f>
        <v>58945392</v>
      </c>
      <c r="D142" s="67">
        <f>ROUND(VLOOKUP(A142,'Contribution Allocation_Report'!$A$9:$D$314,4,FALSE)*'OPEB Amounts_Report'!$D$326,0)</f>
        <v>631720</v>
      </c>
      <c r="E142" s="67">
        <f>ROUND(VLOOKUP(A142,'Contribution Allocation_Report'!$A$9:$D$314,4,FALSE)*'OPEB Amounts_Report'!$E$326,0)</f>
        <v>526915</v>
      </c>
      <c r="F142" s="67">
        <f>ROUND(VLOOKUP(A142,'Contribution Allocation_Report'!$A$9:$D$314,4,FALSE)*'OPEB Amounts_Report'!$F$326,0)</f>
        <v>11030160</v>
      </c>
      <c r="G142" s="67">
        <f>INDEX('Change in Proportion Layers'!$AF$8:$AF$324,MATCH('OPEB Amounts_Report'!A142,'Change in Proportion Layers'!$A$8:$A$324,0))</f>
        <v>6845063</v>
      </c>
      <c r="H142" s="67">
        <f t="shared" si="9"/>
        <v>19033858</v>
      </c>
      <c r="I142" s="67"/>
      <c r="J142" s="67">
        <f>ROUND(VLOOKUP(A142,'Contribution Allocation_Report'!$A$9:$D$314,4,FALSE)*'OPEB Amounts_Report'!$J$326,0)</f>
        <v>6157105</v>
      </c>
      <c r="K142" s="67">
        <f>ROUND(VLOOKUP(A142,'Contribution Allocation_Report'!$A$9:$D$314,4,FALSE)*'OPEB Amounts_Report'!$K$326,0)</f>
        <v>37379452</v>
      </c>
      <c r="L142" s="67">
        <f>INDEX('Change in Proportion Layers'!$AG$8:$AG$324,MATCH('OPEB Amounts_Report'!A142,'Change in Proportion Layers'!$A$8:$A$324,0))</f>
        <v>2904978</v>
      </c>
      <c r="M142" s="67">
        <f t="shared" si="8"/>
        <v>46441535</v>
      </c>
      <c r="N142" s="68"/>
      <c r="O142" s="68">
        <f>ROUND(VLOOKUP(A142,'Contribution Allocation_Report'!$A$9:$D$314,4,FALSE)*'OPEB Amounts_Report'!$O$326,0)</f>
        <v>-11998726</v>
      </c>
      <c r="P142" s="68">
        <f>INDEX('Change in Proportion Layers'!$AD$8:$AD$324,MATCH('OPEB Amounts_Report'!A142,'Change in Proportion Layers'!$A$8:$A$324,0))</f>
        <v>1865855</v>
      </c>
      <c r="Q142" s="68">
        <f t="shared" si="10"/>
        <v>-10132871</v>
      </c>
    </row>
    <row r="143" spans="1:17" ht="12" customHeight="1">
      <c r="A143" s="227">
        <v>7338</v>
      </c>
      <c r="B143" s="228" t="s">
        <v>131</v>
      </c>
      <c r="C143" s="84">
        <f>ROUND(VLOOKUP(A143,'Contribution Allocation_Report'!$A$9:$D$314,4,FALSE)*'OPEB Amounts_Report'!$C$326,0)</f>
        <v>431931</v>
      </c>
      <c r="D143" s="84">
        <f>ROUND(VLOOKUP(A143,'Contribution Allocation_Report'!$A$9:$D$314,4,FALSE)*'OPEB Amounts_Report'!$D$326,0)</f>
        <v>4629</v>
      </c>
      <c r="E143" s="84">
        <f>ROUND(VLOOKUP(A143,'Contribution Allocation_Report'!$A$9:$D$314,4,FALSE)*'OPEB Amounts_Report'!$E$326,0)</f>
        <v>3861</v>
      </c>
      <c r="F143" s="84">
        <f>ROUND(VLOOKUP(A143,'Contribution Allocation_Report'!$A$9:$D$314,4,FALSE)*'OPEB Amounts_Report'!$F$326,0)</f>
        <v>80825</v>
      </c>
      <c r="G143" s="84">
        <f>INDEX('Change in Proportion Layers'!$AF$8:$AF$324,MATCH('OPEB Amounts_Report'!A143,'Change in Proportion Layers'!$A$8:$A$324,0))</f>
        <v>35240</v>
      </c>
      <c r="H143" s="84">
        <f t="shared" si="9"/>
        <v>124555</v>
      </c>
      <c r="I143" s="84"/>
      <c r="J143" s="84">
        <f>ROUND(VLOOKUP(A143,'Contribution Allocation_Report'!$A$9:$D$314,4,FALSE)*'OPEB Amounts_Report'!$J$326,0)</f>
        <v>45117</v>
      </c>
      <c r="K143" s="84">
        <f>ROUND(VLOOKUP(A143,'Contribution Allocation_Report'!$A$9:$D$314,4,FALSE)*'OPEB Amounts_Report'!$K$326,0)</f>
        <v>273904</v>
      </c>
      <c r="L143" s="251">
        <f>INDEX('Change in Proportion Layers'!$AG$8:$AG$324,MATCH('OPEB Amounts_Report'!A143,'Change in Proportion Layers'!$A$8:$A$324,0))</f>
        <v>134584</v>
      </c>
      <c r="M143" s="84">
        <f t="shared" si="8"/>
        <v>453605</v>
      </c>
      <c r="N143" s="85"/>
      <c r="O143" s="85">
        <f>ROUND(VLOOKUP(A143,'Contribution Allocation_Report'!$A$9:$D$314,4,FALSE)*'OPEB Amounts_Report'!$O$326,0)</f>
        <v>-87923</v>
      </c>
      <c r="P143" s="85">
        <f>INDEX('Change in Proportion Layers'!$AD$8:$AD$324,MATCH('OPEB Amounts_Report'!A143,'Change in Proportion Layers'!$A$8:$A$324,0))</f>
        <v>-1353</v>
      </c>
      <c r="Q143" s="85">
        <f t="shared" si="10"/>
        <v>-89276</v>
      </c>
    </row>
    <row r="144" spans="1:17" ht="12" customHeight="1">
      <c r="A144" s="59">
        <v>12037</v>
      </c>
      <c r="B144" s="63" t="s">
        <v>132</v>
      </c>
      <c r="C144" s="67">
        <f>ROUND(VLOOKUP(A144,'Contribution Allocation_Report'!$A$9:$D$314,4,FALSE)*'OPEB Amounts_Report'!$C$326,0)</f>
        <v>3438229</v>
      </c>
      <c r="D144" s="67">
        <f>ROUND(VLOOKUP(A144,'Contribution Allocation_Report'!$A$9:$D$314,4,FALSE)*'OPEB Amounts_Report'!$D$326,0)</f>
        <v>36848</v>
      </c>
      <c r="E144" s="67">
        <f>ROUND(VLOOKUP(A144,'Contribution Allocation_Report'!$A$9:$D$314,4,FALSE)*'OPEB Amounts_Report'!$E$326,0)</f>
        <v>30734</v>
      </c>
      <c r="F144" s="67">
        <f>ROUND(VLOOKUP(A144,'Contribution Allocation_Report'!$A$9:$D$314,4,FALSE)*'OPEB Amounts_Report'!$F$326,0)</f>
        <v>643379</v>
      </c>
      <c r="G144" s="250">
        <f>INDEX('Change in Proportion Layers'!$AF$8:$AF$324,MATCH('OPEB Amounts_Report'!A144,'Change in Proportion Layers'!$A$8:$A$324,0))</f>
        <v>19104</v>
      </c>
      <c r="H144" s="67">
        <f t="shared" si="9"/>
        <v>730065</v>
      </c>
      <c r="I144" s="67"/>
      <c r="J144" s="67">
        <f>ROUND(VLOOKUP(A144,'Contribution Allocation_Report'!$A$9:$D$314,4,FALSE)*'OPEB Amounts_Report'!$J$326,0)</f>
        <v>359138</v>
      </c>
      <c r="K144" s="67">
        <f>ROUND(VLOOKUP(A144,'Contribution Allocation_Report'!$A$9:$D$314,4,FALSE)*'OPEB Amounts_Report'!$K$326,0)</f>
        <v>2180308</v>
      </c>
      <c r="L144" s="250">
        <f>INDEX('Change in Proportion Layers'!$AG$8:$AG$324,MATCH('OPEB Amounts_Report'!A144,'Change in Proportion Layers'!$A$8:$A$324,0))</f>
        <v>245081</v>
      </c>
      <c r="M144" s="67">
        <f t="shared" si="8"/>
        <v>2784527</v>
      </c>
      <c r="N144" s="68"/>
      <c r="O144" s="68">
        <f>ROUND(VLOOKUP(A144,'Contribution Allocation_Report'!$A$9:$D$314,4,FALSE)*'OPEB Amounts_Report'!$O$326,0)</f>
        <v>-699874</v>
      </c>
      <c r="P144" s="68">
        <f>INDEX('Change in Proportion Layers'!$AD$8:$AD$324,MATCH('OPEB Amounts_Report'!A144,'Change in Proportion Layers'!$A$8:$A$324,0))</f>
        <v>-196394</v>
      </c>
      <c r="Q144" s="68">
        <f t="shared" si="10"/>
        <v>-896268</v>
      </c>
    </row>
    <row r="145" spans="1:17" ht="12" customHeight="1">
      <c r="A145" s="227">
        <v>3150</v>
      </c>
      <c r="B145" s="228" t="s">
        <v>133</v>
      </c>
      <c r="C145" s="84">
        <f>ROUND(VLOOKUP(A145,'Contribution Allocation_Report'!$A$9:$D$314,4,FALSE)*'OPEB Amounts_Report'!$C$326,0)</f>
        <v>7727513</v>
      </c>
      <c r="D145" s="84">
        <f>ROUND(VLOOKUP(A145,'Contribution Allocation_Report'!$A$9:$D$314,4,FALSE)*'OPEB Amounts_Report'!$D$326,0)</f>
        <v>82816</v>
      </c>
      <c r="E145" s="84">
        <f>ROUND(VLOOKUP(A145,'Contribution Allocation_Report'!$A$9:$D$314,4,FALSE)*'OPEB Amounts_Report'!$E$326,0)</f>
        <v>69076</v>
      </c>
      <c r="F145" s="84">
        <f>ROUND(VLOOKUP(A145,'Contribution Allocation_Report'!$A$9:$D$314,4,FALSE)*'OPEB Amounts_Report'!$F$326,0)</f>
        <v>1446011</v>
      </c>
      <c r="G145" s="84">
        <f>INDEX('Change in Proportion Layers'!$AF$8:$AF$324,MATCH('OPEB Amounts_Report'!A145,'Change in Proportion Layers'!$A$8:$A$324,0))</f>
        <v>2117727</v>
      </c>
      <c r="H145" s="84">
        <f t="shared" si="9"/>
        <v>3715630</v>
      </c>
      <c r="I145" s="84"/>
      <c r="J145" s="84">
        <f>ROUND(VLOOKUP(A145,'Contribution Allocation_Report'!$A$9:$D$314,4,FALSE)*'OPEB Amounts_Report'!$J$326,0)</f>
        <v>807173</v>
      </c>
      <c r="K145" s="84">
        <f>ROUND(VLOOKUP(A145,'Contribution Allocation_Report'!$A$9:$D$314,4,FALSE)*'OPEB Amounts_Report'!$K$326,0)</f>
        <v>4900301</v>
      </c>
      <c r="L145" s="84">
        <f>INDEX('Change in Proportion Layers'!$AG$8:$AG$324,MATCH('OPEB Amounts_Report'!A145,'Change in Proportion Layers'!$A$8:$A$324,0))</f>
        <v>1047376</v>
      </c>
      <c r="M145" s="84">
        <f t="shared" si="8"/>
        <v>6754850</v>
      </c>
      <c r="N145" s="85"/>
      <c r="O145" s="85">
        <f>ROUND(VLOOKUP(A145,'Contribution Allocation_Report'!$A$9:$D$314,4,FALSE)*'OPEB Amounts_Report'!$O$326,0)</f>
        <v>-1572987</v>
      </c>
      <c r="P145" s="85">
        <f>INDEX('Change in Proportion Layers'!$AD$8:$AD$324,MATCH('OPEB Amounts_Report'!A145,'Change in Proportion Layers'!$A$8:$A$324,0))</f>
        <v>424007</v>
      </c>
      <c r="Q145" s="85">
        <f t="shared" si="10"/>
        <v>-1148980</v>
      </c>
    </row>
    <row r="146" spans="1:17" ht="12" customHeight="1">
      <c r="A146" s="59">
        <v>3160</v>
      </c>
      <c r="B146" s="63" t="s">
        <v>134</v>
      </c>
      <c r="C146" s="67">
        <f>ROUND(VLOOKUP(A146,'Contribution Allocation_Report'!$A$9:$D$314,4,FALSE)*'OPEB Amounts_Report'!$C$326,0)</f>
        <v>1653551</v>
      </c>
      <c r="D146" s="67">
        <f>ROUND(VLOOKUP(A146,'Contribution Allocation_Report'!$A$9:$D$314,4,FALSE)*'OPEB Amounts_Report'!$D$326,0)</f>
        <v>17721</v>
      </c>
      <c r="E146" s="67">
        <f>ROUND(VLOOKUP(A146,'Contribution Allocation_Report'!$A$9:$D$314,4,FALSE)*'OPEB Amounts_Report'!$E$326,0)</f>
        <v>14781</v>
      </c>
      <c r="F146" s="67">
        <f>ROUND(VLOOKUP(A146,'Contribution Allocation_Report'!$A$9:$D$314,4,FALSE)*'OPEB Amounts_Report'!$F$326,0)</f>
        <v>309421</v>
      </c>
      <c r="G146" s="67">
        <f>INDEX('Change in Proportion Layers'!$AF$8:$AF$324,MATCH('OPEB Amounts_Report'!A146,'Change in Proportion Layers'!$A$8:$A$324,0))</f>
        <v>130795</v>
      </c>
      <c r="H146" s="67">
        <f t="shared" si="9"/>
        <v>472718</v>
      </c>
      <c r="I146" s="67"/>
      <c r="J146" s="67">
        <f>ROUND(VLOOKUP(A146,'Contribution Allocation_Report'!$A$9:$D$314,4,FALSE)*'OPEB Amounts_Report'!$J$326,0)</f>
        <v>172721</v>
      </c>
      <c r="K146" s="67">
        <f>ROUND(VLOOKUP(A146,'Contribution Allocation_Report'!$A$9:$D$314,4,FALSE)*'OPEB Amounts_Report'!$K$326,0)</f>
        <v>1048578</v>
      </c>
      <c r="L146" s="67">
        <f>INDEX('Change in Proportion Layers'!$AG$8:$AG$324,MATCH('OPEB Amounts_Report'!A146,'Change in Proportion Layers'!$A$8:$A$324,0))</f>
        <v>278211</v>
      </c>
      <c r="M146" s="67">
        <f t="shared" si="8"/>
        <v>1499510</v>
      </c>
      <c r="N146" s="68"/>
      <c r="O146" s="68">
        <f>ROUND(VLOOKUP(A146,'Contribution Allocation_Report'!$A$9:$D$314,4,FALSE)*'OPEB Amounts_Report'!$O$326,0)</f>
        <v>-336591</v>
      </c>
      <c r="P146" s="68">
        <f>INDEX('Change in Proportion Layers'!$AD$8:$AD$324,MATCH('OPEB Amounts_Report'!A146,'Change in Proportion Layers'!$A$8:$A$324,0))</f>
        <v>-71556</v>
      </c>
      <c r="Q146" s="68">
        <f t="shared" si="10"/>
        <v>-408147</v>
      </c>
    </row>
    <row r="147" spans="1:17" ht="12" customHeight="1">
      <c r="A147" s="227">
        <v>10120</v>
      </c>
      <c r="B147" s="228" t="s">
        <v>135</v>
      </c>
      <c r="C147" s="84">
        <f>ROUND(VLOOKUP(A147,'Contribution Allocation_Report'!$A$9:$D$314,4,FALSE)*'OPEB Amounts_Report'!$C$326,0)</f>
        <v>807009</v>
      </c>
      <c r="D147" s="84">
        <f>ROUND(VLOOKUP(A147,'Contribution Allocation_Report'!$A$9:$D$314,4,FALSE)*'OPEB Amounts_Report'!$D$326,0)</f>
        <v>8649</v>
      </c>
      <c r="E147" s="84">
        <f>ROUND(VLOOKUP(A147,'Contribution Allocation_Report'!$A$9:$D$314,4,FALSE)*'OPEB Amounts_Report'!$E$326,0)</f>
        <v>7214</v>
      </c>
      <c r="F147" s="84">
        <f>ROUND(VLOOKUP(A147,'Contribution Allocation_Report'!$A$9:$D$314,4,FALSE)*'OPEB Amounts_Report'!$F$326,0)</f>
        <v>151012</v>
      </c>
      <c r="G147" s="84">
        <f>INDEX('Change in Proportion Layers'!$AF$8:$AF$324,MATCH('OPEB Amounts_Report'!A147,'Change in Proportion Layers'!$A$8:$A$324,0))</f>
        <v>42762</v>
      </c>
      <c r="H147" s="84">
        <f t="shared" si="9"/>
        <v>209637</v>
      </c>
      <c r="I147" s="84"/>
      <c r="J147" s="84">
        <f>ROUND(VLOOKUP(A147,'Contribution Allocation_Report'!$A$9:$D$314,4,FALSE)*'OPEB Amounts_Report'!$J$326,0)</f>
        <v>84296</v>
      </c>
      <c r="K147" s="84">
        <f>ROUND(VLOOKUP(A147,'Contribution Allocation_Report'!$A$9:$D$314,4,FALSE)*'OPEB Amounts_Report'!$K$326,0)</f>
        <v>511754</v>
      </c>
      <c r="L147" s="84">
        <f>INDEX('Change in Proportion Layers'!$AG$8:$AG$324,MATCH('OPEB Amounts_Report'!A147,'Change in Proportion Layers'!$A$8:$A$324,0))</f>
        <v>101012</v>
      </c>
      <c r="M147" s="84">
        <f t="shared" si="8"/>
        <v>697062</v>
      </c>
      <c r="N147" s="85"/>
      <c r="O147" s="85">
        <f>ROUND(VLOOKUP(A147,'Contribution Allocation_Report'!$A$9:$D$314,4,FALSE)*'OPEB Amounts_Report'!$O$326,0)</f>
        <v>-164272</v>
      </c>
      <c r="P147" s="85">
        <f>INDEX('Change in Proportion Layers'!$AD$8:$AD$324,MATCH('OPEB Amounts_Report'!A147,'Change in Proportion Layers'!$A$8:$A$324,0))</f>
        <v>-28347</v>
      </c>
      <c r="Q147" s="85">
        <f t="shared" si="10"/>
        <v>-192619</v>
      </c>
    </row>
    <row r="148" spans="1:17" ht="12" customHeight="1">
      <c r="A148" s="59">
        <v>23070</v>
      </c>
      <c r="B148" s="63" t="s">
        <v>136</v>
      </c>
      <c r="C148" s="67">
        <f>ROUND(VLOOKUP(A148,'Contribution Allocation_Report'!$A$9:$D$314,4,FALSE)*'OPEB Amounts_Report'!$C$326,0)</f>
        <v>1195891</v>
      </c>
      <c r="D148" s="67">
        <f>ROUND(VLOOKUP(A148,'Contribution Allocation_Report'!$A$9:$D$314,4,FALSE)*'OPEB Amounts_Report'!$D$326,0)</f>
        <v>12816</v>
      </c>
      <c r="E148" s="67">
        <f>ROUND(VLOOKUP(A148,'Contribution Allocation_Report'!$A$9:$D$314,4,FALSE)*'OPEB Amounts_Report'!$E$326,0)</f>
        <v>10690</v>
      </c>
      <c r="F148" s="67">
        <f>ROUND(VLOOKUP(A148,'Contribution Allocation_Report'!$A$9:$D$314,4,FALSE)*'OPEB Amounts_Report'!$F$326,0)</f>
        <v>223781</v>
      </c>
      <c r="G148" s="67">
        <f>INDEX('Change in Proportion Layers'!$AF$8:$AF$324,MATCH('OPEB Amounts_Report'!A148,'Change in Proportion Layers'!$A$8:$A$324,0))</f>
        <v>23611</v>
      </c>
      <c r="H148" s="67">
        <f t="shared" si="9"/>
        <v>270898</v>
      </c>
      <c r="I148" s="67"/>
      <c r="J148" s="67">
        <f>ROUND(VLOOKUP(A148,'Contribution Allocation_Report'!$A$9:$D$314,4,FALSE)*'OPEB Amounts_Report'!$J$326,0)</f>
        <v>124916</v>
      </c>
      <c r="K148" s="67">
        <f>ROUND(VLOOKUP(A148,'Contribution Allocation_Report'!$A$9:$D$314,4,FALSE)*'OPEB Amounts_Report'!$K$326,0)</f>
        <v>758358</v>
      </c>
      <c r="L148" s="67">
        <f>INDEX('Change in Proportion Layers'!$AG$8:$AG$324,MATCH('OPEB Amounts_Report'!A148,'Change in Proportion Layers'!$A$8:$A$324,0))</f>
        <v>303532</v>
      </c>
      <c r="M148" s="67">
        <f t="shared" si="8"/>
        <v>1186806</v>
      </c>
      <c r="N148" s="68"/>
      <c r="O148" s="68">
        <f>ROUND(VLOOKUP(A148,'Contribution Allocation_Report'!$A$9:$D$314,4,FALSE)*'OPEB Amounts_Report'!$O$326,0)</f>
        <v>-243431</v>
      </c>
      <c r="P148" s="68">
        <f>INDEX('Change in Proportion Layers'!$AD$8:$AD$324,MATCH('OPEB Amounts_Report'!A148,'Change in Proportion Layers'!$A$8:$A$324,0))</f>
        <v>-31170</v>
      </c>
      <c r="Q148" s="68">
        <f t="shared" si="10"/>
        <v>-274601</v>
      </c>
    </row>
    <row r="149" spans="1:17" ht="12" customHeight="1">
      <c r="A149" s="227">
        <v>3170</v>
      </c>
      <c r="B149" s="228" t="s">
        <v>137</v>
      </c>
      <c r="C149" s="84">
        <f>ROUND(VLOOKUP(A149,'Contribution Allocation_Report'!$A$9:$D$314,4,FALSE)*'OPEB Amounts_Report'!$C$326,0)</f>
        <v>17807330</v>
      </c>
      <c r="D149" s="84">
        <f>ROUND(VLOOKUP(A149,'Contribution Allocation_Report'!$A$9:$D$314,4,FALSE)*'OPEB Amounts_Report'!$D$326,0)</f>
        <v>190842</v>
      </c>
      <c r="E149" s="84">
        <f>ROUND(VLOOKUP(A149,'Contribution Allocation_Report'!$A$9:$D$314,4,FALSE)*'OPEB Amounts_Report'!$E$326,0)</f>
        <v>159180</v>
      </c>
      <c r="F149" s="84">
        <f>ROUND(VLOOKUP(A149,'Contribution Allocation_Report'!$A$9:$D$314,4,FALSE)*'OPEB Amounts_Report'!$F$326,0)</f>
        <v>3332197</v>
      </c>
      <c r="G149" s="84">
        <f>INDEX('Change in Proportion Layers'!$AF$8:$AF$324,MATCH('OPEB Amounts_Report'!A149,'Change in Proportion Layers'!$A$8:$A$324,0))</f>
        <v>2896908</v>
      </c>
      <c r="H149" s="84">
        <f t="shared" si="9"/>
        <v>6579127</v>
      </c>
      <c r="I149" s="84"/>
      <c r="J149" s="84">
        <f>ROUND(VLOOKUP(A149,'Contribution Allocation_Report'!$A$9:$D$314,4,FALSE)*'OPEB Amounts_Report'!$J$326,0)</f>
        <v>1860054</v>
      </c>
      <c r="K149" s="84">
        <f>ROUND(VLOOKUP(A149,'Contribution Allocation_Report'!$A$9:$D$314,4,FALSE)*'OPEB Amounts_Report'!$K$326,0)</f>
        <v>11292286</v>
      </c>
      <c r="L149" s="251">
        <f>INDEX('Change in Proportion Layers'!$AG$8:$AG$324,MATCH('OPEB Amounts_Report'!A149,'Change in Proportion Layers'!$A$8:$A$324,0))</f>
        <v>1215577</v>
      </c>
      <c r="M149" s="84">
        <f t="shared" si="8"/>
        <v>14367917</v>
      </c>
      <c r="N149" s="85"/>
      <c r="O149" s="85">
        <f>ROUND(VLOOKUP(A149,'Contribution Allocation_Report'!$A$9:$D$314,4,FALSE)*'OPEB Amounts_Report'!$O$326,0)</f>
        <v>-3624800</v>
      </c>
      <c r="P149" s="85">
        <f>INDEX('Change in Proportion Layers'!$AD$8:$AD$324,MATCH('OPEB Amounts_Report'!A149,'Change in Proportion Layers'!$A$8:$A$324,0))</f>
        <v>-365995</v>
      </c>
      <c r="Q149" s="85">
        <f t="shared" si="10"/>
        <v>-3990795</v>
      </c>
    </row>
    <row r="150" spans="1:17" ht="12" customHeight="1">
      <c r="A150" s="59">
        <v>32093</v>
      </c>
      <c r="B150" s="63" t="s">
        <v>138</v>
      </c>
      <c r="C150" s="67">
        <f>ROUND(VLOOKUP(A150,'Contribution Allocation_Report'!$A$9:$D$314,4,FALSE)*'OPEB Amounts_Report'!$C$326,0)</f>
        <v>10834050</v>
      </c>
      <c r="D150" s="67">
        <f>ROUND(VLOOKUP(A150,'Contribution Allocation_Report'!$A$9:$D$314,4,FALSE)*'OPEB Amounts_Report'!$D$326,0)</f>
        <v>116109</v>
      </c>
      <c r="E150" s="67">
        <f>ROUND(VLOOKUP(A150,'Contribution Allocation_Report'!$A$9:$D$314,4,FALSE)*'OPEB Amounts_Report'!$E$326,0)</f>
        <v>96846</v>
      </c>
      <c r="F150" s="67">
        <f>ROUND(VLOOKUP(A150,'Contribution Allocation_Report'!$A$9:$D$314,4,FALSE)*'OPEB Amounts_Report'!$F$326,0)</f>
        <v>2027322</v>
      </c>
      <c r="G150" s="67">
        <f>INDEX('Change in Proportion Layers'!$AF$8:$AF$324,MATCH('OPEB Amounts_Report'!A150,'Change in Proportion Layers'!$A$8:$A$324,0))</f>
        <v>368930</v>
      </c>
      <c r="H150" s="67">
        <f t="shared" si="9"/>
        <v>2609207</v>
      </c>
      <c r="I150" s="67"/>
      <c r="J150" s="67">
        <f>ROUND(VLOOKUP(A150,'Contribution Allocation_Report'!$A$9:$D$314,4,FALSE)*'OPEB Amounts_Report'!$J$326,0)</f>
        <v>1131664</v>
      </c>
      <c r="K150" s="67">
        <f>ROUND(VLOOKUP(A150,'Contribution Allocation_Report'!$A$9:$D$314,4,FALSE)*'OPEB Amounts_Report'!$K$326,0)</f>
        <v>6870272</v>
      </c>
      <c r="L150" s="250">
        <f>INDEX('Change in Proportion Layers'!$AG$8:$AG$324,MATCH('OPEB Amounts_Report'!A150,'Change in Proportion Layers'!$A$8:$A$324,0))</f>
        <v>131068</v>
      </c>
      <c r="M150" s="67">
        <f t="shared" si="8"/>
        <v>8133004</v>
      </c>
      <c r="N150" s="68"/>
      <c r="O150" s="68">
        <f>ROUND(VLOOKUP(A150,'Contribution Allocation_Report'!$A$9:$D$314,4,FALSE)*'OPEB Amounts_Report'!$O$326,0)</f>
        <v>-2205343</v>
      </c>
      <c r="P150" s="68">
        <f>INDEX('Change in Proportion Layers'!$AD$8:$AD$324,MATCH('OPEB Amounts_Report'!A150,'Change in Proportion Layers'!$A$8:$A$324,0))</f>
        <v>273492</v>
      </c>
      <c r="Q150" s="68">
        <f t="shared" si="10"/>
        <v>-1931851</v>
      </c>
    </row>
    <row r="151" spans="1:17" ht="12" customHeight="1">
      <c r="A151" s="227">
        <v>14045</v>
      </c>
      <c r="B151" s="228" t="s">
        <v>139</v>
      </c>
      <c r="C151" s="84">
        <f>ROUND(VLOOKUP(A151,'Contribution Allocation_Report'!$A$9:$D$314,4,FALSE)*'OPEB Amounts_Report'!$C$326,0)</f>
        <v>20435775</v>
      </c>
      <c r="D151" s="84">
        <f>ROUND(VLOOKUP(A151,'Contribution Allocation_Report'!$A$9:$D$314,4,FALSE)*'OPEB Amounts_Report'!$D$326,0)</f>
        <v>219011</v>
      </c>
      <c r="E151" s="84">
        <f>ROUND(VLOOKUP(A151,'Contribution Allocation_Report'!$A$9:$D$314,4,FALSE)*'OPEB Amounts_Report'!$E$326,0)</f>
        <v>182676</v>
      </c>
      <c r="F151" s="84">
        <f>ROUND(VLOOKUP(A151,'Contribution Allocation_Report'!$A$9:$D$314,4,FALSE)*'OPEB Amounts_Report'!$F$326,0)</f>
        <v>3824045</v>
      </c>
      <c r="G151" s="84">
        <f>INDEX('Change in Proportion Layers'!$AF$8:$AF$324,MATCH('OPEB Amounts_Report'!A151,'Change in Proportion Layers'!$A$8:$A$324,0))</f>
        <v>2779550</v>
      </c>
      <c r="H151" s="84">
        <f t="shared" si="9"/>
        <v>7005282</v>
      </c>
      <c r="I151" s="84"/>
      <c r="J151" s="84">
        <f>ROUND(VLOOKUP(A151,'Contribution Allocation_Report'!$A$9:$D$314,4,FALSE)*'OPEB Amounts_Report'!$J$326,0)</f>
        <v>2134606</v>
      </c>
      <c r="K151" s="84">
        <f>ROUND(VLOOKUP(A151,'Contribution Allocation_Report'!$A$9:$D$314,4,FALSE)*'OPEB Amounts_Report'!$K$326,0)</f>
        <v>12959080</v>
      </c>
      <c r="L151" s="251">
        <f>INDEX('Change in Proportion Layers'!$AG$8:$AG$324,MATCH('OPEB Amounts_Report'!A151,'Change in Proportion Layers'!$A$8:$A$324,0))</f>
        <v>88436</v>
      </c>
      <c r="M151" s="84">
        <f t="shared" si="8"/>
        <v>15182122</v>
      </c>
      <c r="N151" s="85"/>
      <c r="O151" s="85">
        <f>ROUND(VLOOKUP(A151,'Contribution Allocation_Report'!$A$9:$D$314,4,FALSE)*'OPEB Amounts_Report'!$O$326,0)</f>
        <v>-4159838</v>
      </c>
      <c r="P151" s="85">
        <f>INDEX('Change in Proportion Layers'!$AD$8:$AD$324,MATCH('OPEB Amounts_Report'!A151,'Change in Proportion Layers'!$A$8:$A$324,0))</f>
        <v>1074465</v>
      </c>
      <c r="Q151" s="85">
        <f t="shared" si="10"/>
        <v>-3085373</v>
      </c>
    </row>
    <row r="152" spans="1:17" ht="12" customHeight="1">
      <c r="A152" s="59">
        <v>2322</v>
      </c>
      <c r="B152" s="63" t="s">
        <v>140</v>
      </c>
      <c r="C152" s="67">
        <f>ROUND(VLOOKUP(A152,'Contribution Allocation_Report'!$A$9:$D$314,4,FALSE)*'OPEB Amounts_Report'!$C$326,0)</f>
        <v>365773</v>
      </c>
      <c r="D152" s="67">
        <f>ROUND(VLOOKUP(A152,'Contribution Allocation_Report'!$A$9:$D$314,4,FALSE)*'OPEB Amounts_Report'!$D$326,0)</f>
        <v>3920</v>
      </c>
      <c r="E152" s="67">
        <f>ROUND(VLOOKUP(A152,'Contribution Allocation_Report'!$A$9:$D$314,4,FALSE)*'OPEB Amounts_Report'!$E$326,0)</f>
        <v>3270</v>
      </c>
      <c r="F152" s="67">
        <f>ROUND(VLOOKUP(A152,'Contribution Allocation_Report'!$A$9:$D$314,4,FALSE)*'OPEB Amounts_Report'!$F$326,0)</f>
        <v>68445</v>
      </c>
      <c r="G152" s="67">
        <f>INDEX('Change in Proportion Layers'!$AF$8:$AF$324,MATCH('OPEB Amounts_Report'!A152,'Change in Proportion Layers'!$A$8:$A$324,0))</f>
        <v>84327</v>
      </c>
      <c r="H152" s="67">
        <f t="shared" si="9"/>
        <v>159962</v>
      </c>
      <c r="I152" s="67"/>
      <c r="J152" s="67">
        <f>ROUND(VLOOKUP(A152,'Contribution Allocation_Report'!$A$9:$D$314,4,FALSE)*'OPEB Amounts_Report'!$J$326,0)</f>
        <v>38207</v>
      </c>
      <c r="K152" s="67">
        <f>ROUND(VLOOKUP(A152,'Contribution Allocation_Report'!$A$9:$D$314,4,FALSE)*'OPEB Amounts_Report'!$K$326,0)</f>
        <v>231950</v>
      </c>
      <c r="L152" s="250">
        <f>INDEX('Change in Proportion Layers'!$AG$8:$AG$324,MATCH('OPEB Amounts_Report'!A152,'Change in Proportion Layers'!$A$8:$A$324,0))</f>
        <v>243108</v>
      </c>
      <c r="M152" s="67">
        <f t="shared" si="8"/>
        <v>513265</v>
      </c>
      <c r="N152" s="68"/>
      <c r="O152" s="68">
        <f>ROUND(VLOOKUP(A152,'Contribution Allocation_Report'!$A$9:$D$314,4,FALSE)*'OPEB Amounts_Report'!$O$326,0)</f>
        <v>-74455</v>
      </c>
      <c r="P152" s="68">
        <f>INDEX('Change in Proportion Layers'!$AD$8:$AD$324,MATCH('OPEB Amounts_Report'!A152,'Change in Proportion Layers'!$A$8:$A$324,0))</f>
        <v>-41023</v>
      </c>
      <c r="Q152" s="68">
        <f t="shared" si="10"/>
        <v>-115478</v>
      </c>
    </row>
    <row r="153" spans="1:17" ht="12" customHeight="1">
      <c r="A153" s="227">
        <v>3006</v>
      </c>
      <c r="B153" s="228" t="s">
        <v>141</v>
      </c>
      <c r="C153" s="84">
        <f>ROUND(VLOOKUP(A153,'Contribution Allocation_Report'!$A$9:$D$314,4,FALSE)*'OPEB Amounts_Report'!$C$326,0)</f>
        <v>1601028</v>
      </c>
      <c r="D153" s="84">
        <f>ROUND(VLOOKUP(A153,'Contribution Allocation_Report'!$A$9:$D$314,4,FALSE)*'OPEB Amounts_Report'!$D$326,0)</f>
        <v>17158</v>
      </c>
      <c r="E153" s="84">
        <f>ROUND(VLOOKUP(A153,'Contribution Allocation_Report'!$A$9:$D$314,4,FALSE)*'OPEB Amounts_Report'!$E$326,0)</f>
        <v>14312</v>
      </c>
      <c r="F153" s="84">
        <f>ROUND(VLOOKUP(A153,'Contribution Allocation_Report'!$A$9:$D$314,4,FALSE)*'OPEB Amounts_Report'!$F$326,0)</f>
        <v>299592</v>
      </c>
      <c r="G153" s="84">
        <f>INDEX('Change in Proportion Layers'!$AF$8:$AF$324,MATCH('OPEB Amounts_Report'!A153,'Change in Proportion Layers'!$A$8:$A$324,0))</f>
        <v>416627</v>
      </c>
      <c r="H153" s="84">
        <f t="shared" si="9"/>
        <v>747689</v>
      </c>
      <c r="I153" s="84"/>
      <c r="J153" s="84">
        <f>ROUND(VLOOKUP(A153,'Contribution Allocation_Report'!$A$9:$D$314,4,FALSE)*'OPEB Amounts_Report'!$J$326,0)</f>
        <v>167234</v>
      </c>
      <c r="K153" s="84">
        <f>ROUND(VLOOKUP(A153,'Contribution Allocation_Report'!$A$9:$D$314,4,FALSE)*'OPEB Amounts_Report'!$K$326,0)</f>
        <v>1015271</v>
      </c>
      <c r="L153" s="251">
        <f>INDEX('Change in Proportion Layers'!$AG$8:$AG$324,MATCH('OPEB Amounts_Report'!A153,'Change in Proportion Layers'!$A$8:$A$324,0))</f>
        <v>170193</v>
      </c>
      <c r="M153" s="84">
        <f t="shared" si="8"/>
        <v>1352698</v>
      </c>
      <c r="N153" s="85"/>
      <c r="O153" s="85">
        <f>ROUND(VLOOKUP(A153,'Contribution Allocation_Report'!$A$9:$D$314,4,FALSE)*'OPEB Amounts_Report'!$O$326,0)</f>
        <v>-325900</v>
      </c>
      <c r="P153" s="85">
        <f>INDEX('Change in Proportion Layers'!$AD$8:$AD$324,MATCH('OPEB Amounts_Report'!A153,'Change in Proportion Layers'!$A$8:$A$324,0))</f>
        <v>130879</v>
      </c>
      <c r="Q153" s="85">
        <f t="shared" si="10"/>
        <v>-195021</v>
      </c>
    </row>
    <row r="154" spans="1:17" ht="12" customHeight="1">
      <c r="A154" s="59">
        <v>6019</v>
      </c>
      <c r="B154" s="60" t="s">
        <v>142</v>
      </c>
      <c r="C154" s="154">
        <f>ROUND(VLOOKUP(A154,'Contribution Allocation_Report'!$A$9:$D$314,4,FALSE)*'OPEB Amounts_Report'!$C$326,0)</f>
        <v>8566235</v>
      </c>
      <c r="D154" s="154">
        <f>ROUND(VLOOKUP(A154,'Contribution Allocation_Report'!$A$9:$D$314,4,FALSE)*'OPEB Amounts_Report'!$D$326,0)</f>
        <v>91805</v>
      </c>
      <c r="E154" s="154">
        <f>ROUND(VLOOKUP(A154,'Contribution Allocation_Report'!$A$9:$D$314,4,FALSE)*'OPEB Amounts_Report'!$E$326,0)</f>
        <v>76574</v>
      </c>
      <c r="F154" s="154">
        <f>ROUND(VLOOKUP(A154,'Contribution Allocation_Report'!$A$9:$D$314,4,FALSE)*'OPEB Amounts_Report'!$F$326,0)</f>
        <v>1602957</v>
      </c>
      <c r="G154" s="154">
        <f>INDEX('Change in Proportion Layers'!$AF$8:$AF$324,MATCH('OPEB Amounts_Report'!A154,'Change in Proportion Layers'!$A$8:$A$324,0))</f>
        <v>1804333</v>
      </c>
      <c r="H154" s="154">
        <f t="shared" si="9"/>
        <v>3575669</v>
      </c>
      <c r="I154" s="154"/>
      <c r="J154" s="154">
        <f>ROUND(VLOOKUP(A154,'Contribution Allocation_Report'!$A$9:$D$314,4,FALSE)*'OPEB Amounts_Report'!$J$326,0)</f>
        <v>894781</v>
      </c>
      <c r="K154" s="154">
        <f>ROUND(VLOOKUP(A154,'Contribution Allocation_Report'!$A$9:$D$314,4,FALSE)*'OPEB Amounts_Report'!$K$326,0)</f>
        <v>5432166</v>
      </c>
      <c r="L154" s="156">
        <f>INDEX('Change in Proportion Layers'!$AG$8:$AG$324,MATCH('OPEB Amounts_Report'!A154,'Change in Proportion Layers'!$A$8:$A$324,0))</f>
        <v>935812</v>
      </c>
      <c r="M154" s="154">
        <f t="shared" si="8"/>
        <v>7262759</v>
      </c>
      <c r="N154" s="155"/>
      <c r="O154" s="155">
        <f>ROUND(VLOOKUP(A154,'Contribution Allocation_Report'!$A$9:$D$314,4,FALSE)*'OPEB Amounts_Report'!$O$326,0)</f>
        <v>-1743714</v>
      </c>
      <c r="P154" s="155">
        <f>INDEX('Change in Proportion Layers'!$AD$8:$AD$324,MATCH('OPEB Amounts_Report'!A154,'Change in Proportion Layers'!$A$8:$A$324,0))</f>
        <v>410990</v>
      </c>
      <c r="Q154" s="155">
        <f t="shared" si="10"/>
        <v>-1332724</v>
      </c>
    </row>
    <row r="155" spans="1:17" ht="12" customHeight="1">
      <c r="A155" s="227">
        <v>12128</v>
      </c>
      <c r="B155" s="228" t="s">
        <v>143</v>
      </c>
      <c r="C155" s="84">
        <f>ROUND(VLOOKUP(A155,'Contribution Allocation_Report'!$A$9:$D$314,4,FALSE)*'OPEB Amounts_Report'!$C$326,0)</f>
        <v>1651505</v>
      </c>
      <c r="D155" s="84">
        <f>ROUND(VLOOKUP(A155,'Contribution Allocation_Report'!$A$9:$D$314,4,FALSE)*'OPEB Amounts_Report'!$D$326,0)</f>
        <v>17699</v>
      </c>
      <c r="E155" s="84">
        <f>ROUND(VLOOKUP(A155,'Contribution Allocation_Report'!$A$9:$D$314,4,FALSE)*'OPEB Amounts_Report'!$E$326,0)</f>
        <v>14763</v>
      </c>
      <c r="F155" s="84">
        <f>ROUND(VLOOKUP(A155,'Contribution Allocation_Report'!$A$9:$D$314,4,FALSE)*'OPEB Amounts_Report'!$F$326,0)</f>
        <v>309038</v>
      </c>
      <c r="G155" s="84">
        <f>INDEX('Change in Proportion Layers'!$AF$8:$AF$324,MATCH('OPEB Amounts_Report'!A155,'Change in Proportion Layers'!$A$8:$A$324,0))</f>
        <v>0</v>
      </c>
      <c r="H155" s="84">
        <f t="shared" si="9"/>
        <v>341500</v>
      </c>
      <c r="I155" s="84"/>
      <c r="J155" s="84">
        <f>ROUND(VLOOKUP(A155,'Contribution Allocation_Report'!$A$9:$D$314,4,FALSE)*'OPEB Amounts_Report'!$J$326,0)</f>
        <v>172507</v>
      </c>
      <c r="K155" s="84">
        <f>ROUND(VLOOKUP(A155,'Contribution Allocation_Report'!$A$9:$D$314,4,FALSE)*'OPEB Amounts_Report'!$K$326,0)</f>
        <v>1047281</v>
      </c>
      <c r="L155" s="84">
        <f>INDEX('Change in Proportion Layers'!$AG$8:$AG$324,MATCH('OPEB Amounts_Report'!A155,'Change in Proportion Layers'!$A$8:$A$324,0))</f>
        <v>797866</v>
      </c>
      <c r="M155" s="84">
        <f t="shared" si="8"/>
        <v>2017654</v>
      </c>
      <c r="N155" s="85"/>
      <c r="O155" s="85">
        <f>ROUND(VLOOKUP(A155,'Contribution Allocation_Report'!$A$9:$D$314,4,FALSE)*'OPEB Amounts_Report'!$O$326,0)</f>
        <v>-336175</v>
      </c>
      <c r="P155" s="85">
        <f>INDEX('Change in Proportion Layers'!$AD$8:$AD$324,MATCH('OPEB Amounts_Report'!A155,'Change in Proportion Layers'!$A$8:$A$324,0))</f>
        <v>-285862</v>
      </c>
      <c r="Q155" s="85">
        <f t="shared" si="10"/>
        <v>-622037</v>
      </c>
    </row>
    <row r="156" spans="1:17" ht="12" customHeight="1">
      <c r="A156" s="59">
        <v>3180</v>
      </c>
      <c r="B156" s="63" t="s">
        <v>144</v>
      </c>
      <c r="C156" s="67">
        <f>ROUND(VLOOKUP(A156,'Contribution Allocation_Report'!$A$9:$D$314,4,FALSE)*'OPEB Amounts_Report'!$C$326,0)</f>
        <v>3063263</v>
      </c>
      <c r="D156" s="67">
        <f>ROUND(VLOOKUP(A156,'Contribution Allocation_Report'!$A$9:$D$314,4,FALSE)*'OPEB Amounts_Report'!$D$326,0)</f>
        <v>32829</v>
      </c>
      <c r="E156" s="67">
        <f>ROUND(VLOOKUP(A156,'Contribution Allocation_Report'!$A$9:$D$314,4,FALSE)*'OPEB Amounts_Report'!$E$326,0)</f>
        <v>27383</v>
      </c>
      <c r="F156" s="67">
        <f>ROUND(VLOOKUP(A156,'Contribution Allocation_Report'!$A$9:$D$314,4,FALSE)*'OPEB Amounts_Report'!$F$326,0)</f>
        <v>573213</v>
      </c>
      <c r="G156" s="67">
        <f>INDEX('Change in Proportion Layers'!$AF$8:$AF$324,MATCH('OPEB Amounts_Report'!A156,'Change in Proportion Layers'!$A$8:$A$324,0))</f>
        <v>161434</v>
      </c>
      <c r="H156" s="67">
        <f t="shared" si="9"/>
        <v>794859</v>
      </c>
      <c r="I156" s="67"/>
      <c r="J156" s="67">
        <f>ROUND(VLOOKUP(A156,'Contribution Allocation_Report'!$A$9:$D$314,4,FALSE)*'OPEB Amounts_Report'!$J$326,0)</f>
        <v>319971</v>
      </c>
      <c r="K156" s="67">
        <f>ROUND(VLOOKUP(A156,'Contribution Allocation_Report'!$A$9:$D$314,4,FALSE)*'OPEB Amounts_Report'!$K$326,0)</f>
        <v>1942529</v>
      </c>
      <c r="L156" s="67">
        <f>INDEX('Change in Proportion Layers'!$AG$8:$AG$324,MATCH('OPEB Amounts_Report'!A156,'Change in Proportion Layers'!$A$8:$A$324,0))</f>
        <v>476613</v>
      </c>
      <c r="M156" s="67">
        <f t="shared" si="8"/>
        <v>2739113</v>
      </c>
      <c r="N156" s="68"/>
      <c r="O156" s="68">
        <f>ROUND(VLOOKUP(A156,'Contribution Allocation_Report'!$A$9:$D$314,4,FALSE)*'OPEB Amounts_Report'!$O$326,0)</f>
        <v>-623548</v>
      </c>
      <c r="P156" s="68">
        <f>INDEX('Change in Proportion Layers'!$AD$8:$AD$324,MATCH('OPEB Amounts_Report'!A156,'Change in Proportion Layers'!$A$8:$A$324,0))</f>
        <v>-149988</v>
      </c>
      <c r="Q156" s="68">
        <f t="shared" si="10"/>
        <v>-773536</v>
      </c>
    </row>
    <row r="157" spans="1:17" ht="12" customHeight="1">
      <c r="A157" s="227">
        <v>25075</v>
      </c>
      <c r="B157" s="228" t="s">
        <v>145</v>
      </c>
      <c r="C157" s="84">
        <f>ROUND(VLOOKUP(A157,'Contribution Allocation_Report'!$A$9:$D$314,4,FALSE)*'OPEB Amounts_Report'!$C$326,0)</f>
        <v>1340610</v>
      </c>
      <c r="D157" s="84">
        <f>ROUND(VLOOKUP(A157,'Contribution Allocation_Report'!$A$9:$D$314,4,FALSE)*'OPEB Amounts_Report'!$D$326,0)</f>
        <v>14367</v>
      </c>
      <c r="E157" s="84">
        <f>ROUND(VLOOKUP(A157,'Contribution Allocation_Report'!$A$9:$D$314,4,FALSE)*'OPEB Amounts_Report'!$E$326,0)</f>
        <v>11984</v>
      </c>
      <c r="F157" s="84">
        <f>ROUND(VLOOKUP(A157,'Contribution Allocation_Report'!$A$9:$D$314,4,FALSE)*'OPEB Amounts_Report'!$F$326,0)</f>
        <v>250862</v>
      </c>
      <c r="G157" s="84">
        <f>INDEX('Change in Proportion Layers'!$AF$8:$AF$324,MATCH('OPEB Amounts_Report'!A157,'Change in Proportion Layers'!$A$8:$A$324,0))</f>
        <v>217044</v>
      </c>
      <c r="H157" s="84">
        <f t="shared" si="9"/>
        <v>494257</v>
      </c>
      <c r="I157" s="84"/>
      <c r="J157" s="84">
        <f>ROUND(VLOOKUP(A157,'Contribution Allocation_Report'!$A$9:$D$314,4,FALSE)*'OPEB Amounts_Report'!$J$326,0)</f>
        <v>140033</v>
      </c>
      <c r="K157" s="84">
        <f>ROUND(VLOOKUP(A157,'Contribution Allocation_Report'!$A$9:$D$314,4,FALSE)*'OPEB Amounts_Report'!$K$326,0)</f>
        <v>850131</v>
      </c>
      <c r="L157" s="84">
        <f>INDEX('Change in Proportion Layers'!$AG$8:$AG$324,MATCH('OPEB Amounts_Report'!A157,'Change in Proportion Layers'!$A$8:$A$324,0))</f>
        <v>148861</v>
      </c>
      <c r="M157" s="84">
        <f t="shared" si="8"/>
        <v>1139025</v>
      </c>
      <c r="N157" s="85"/>
      <c r="O157" s="85">
        <f>ROUND(VLOOKUP(A157,'Contribution Allocation_Report'!$A$9:$D$314,4,FALSE)*'OPEB Amounts_Report'!$O$326,0)</f>
        <v>-272890</v>
      </c>
      <c r="P157" s="85">
        <f>INDEX('Change in Proportion Layers'!$AD$8:$AD$324,MATCH('OPEB Amounts_Report'!A157,'Change in Proportion Layers'!$A$8:$A$324,0))</f>
        <v>64435</v>
      </c>
      <c r="Q157" s="85">
        <f t="shared" si="10"/>
        <v>-208455</v>
      </c>
    </row>
    <row r="158" spans="1:17" ht="12" customHeight="1">
      <c r="A158" s="59">
        <v>2311</v>
      </c>
      <c r="B158" s="63" t="s">
        <v>422</v>
      </c>
      <c r="C158" s="67">
        <f>ROUND(VLOOKUP(A158,'Contribution Allocation_Report'!$A$9:$D$314,4,FALSE)*'OPEB Amounts_Report'!$C$326,0)</f>
        <v>552253</v>
      </c>
      <c r="D158" s="67">
        <f>ROUND(VLOOKUP(A158,'Contribution Allocation_Report'!$A$9:$D$314,4,FALSE)*'OPEB Amounts_Report'!$D$326,0)</f>
        <v>5919</v>
      </c>
      <c r="E158" s="67">
        <f>ROUND(VLOOKUP(A158,'Contribution Allocation_Report'!$A$9:$D$314,4,FALSE)*'OPEB Amounts_Report'!$E$326,0)</f>
        <v>4937</v>
      </c>
      <c r="F158" s="67">
        <f>ROUND(VLOOKUP(A158,'Contribution Allocation_Report'!$A$9:$D$314,4,FALSE)*'OPEB Amounts_Report'!$F$326,0)</f>
        <v>103340</v>
      </c>
      <c r="G158" s="67">
        <f>INDEX('Change in Proportion Layers'!$AF$8:$AF$324,MATCH('OPEB Amounts_Report'!A158,'Change in Proportion Layers'!$A$8:$A$324,0))</f>
        <v>134522</v>
      </c>
      <c r="H158" s="67">
        <f t="shared" si="9"/>
        <v>248718</v>
      </c>
      <c r="I158" s="67"/>
      <c r="J158" s="67">
        <f>ROUND(VLOOKUP(A158,'Contribution Allocation_Report'!$A$9:$D$314,4,FALSE)*'OPEB Amounts_Report'!$J$326,0)</f>
        <v>57685</v>
      </c>
      <c r="K158" s="67">
        <f>ROUND(VLOOKUP(A158,'Contribution Allocation_Report'!$A$9:$D$314,4,FALSE)*'OPEB Amounts_Report'!$K$326,0)</f>
        <v>350204</v>
      </c>
      <c r="L158" s="67">
        <f>INDEX('Change in Proportion Layers'!$AG$8:$AG$324,MATCH('OPEB Amounts_Report'!A158,'Change in Proportion Layers'!$A$8:$A$324,0))</f>
        <v>51153</v>
      </c>
      <c r="M158" s="67">
        <f t="shared" si="8"/>
        <v>459042</v>
      </c>
      <c r="N158" s="68"/>
      <c r="O158" s="68">
        <f>ROUND(VLOOKUP(A158,'Contribution Allocation_Report'!$A$9:$D$314,4,FALSE)*'OPEB Amounts_Report'!$O$326,0)</f>
        <v>-112415</v>
      </c>
      <c r="P158" s="68">
        <f>INDEX('Change in Proportion Layers'!$AD$8:$AD$324,MATCH('OPEB Amounts_Report'!A158,'Change in Proportion Layers'!$A$8:$A$324,0))</f>
        <v>42529</v>
      </c>
      <c r="Q158" s="68">
        <f t="shared" si="10"/>
        <v>-69886</v>
      </c>
    </row>
    <row r="159" spans="1:17" ht="12" customHeight="1">
      <c r="A159" s="227">
        <v>9028</v>
      </c>
      <c r="B159" s="228" t="s">
        <v>146</v>
      </c>
      <c r="C159" s="84">
        <f>ROUND(VLOOKUP(A159,'Contribution Allocation_Report'!$A$9:$D$314,4,FALSE)*'OPEB Amounts_Report'!$C$326,0)</f>
        <v>454255</v>
      </c>
      <c r="D159" s="84">
        <f>ROUND(VLOOKUP(A159,'Contribution Allocation_Report'!$A$9:$D$314,4,FALSE)*'OPEB Amounts_Report'!$D$326,0)</f>
        <v>4868</v>
      </c>
      <c r="E159" s="84">
        <f>ROUND(VLOOKUP(A159,'Contribution Allocation_Report'!$A$9:$D$314,4,FALSE)*'OPEB Amounts_Report'!$E$326,0)</f>
        <v>4061</v>
      </c>
      <c r="F159" s="84">
        <f>ROUND(VLOOKUP(A159,'Contribution Allocation_Report'!$A$9:$D$314,4,FALSE)*'OPEB Amounts_Report'!$F$326,0)</f>
        <v>85003</v>
      </c>
      <c r="G159" s="84">
        <f>INDEX('Change in Proportion Layers'!$AF$8:$AF$324,MATCH('OPEB Amounts_Report'!A159,'Change in Proportion Layers'!$A$8:$A$324,0))</f>
        <v>12919</v>
      </c>
      <c r="H159" s="84">
        <f t="shared" si="9"/>
        <v>106851</v>
      </c>
      <c r="I159" s="84"/>
      <c r="J159" s="84">
        <f>ROUND(VLOOKUP(A159,'Contribution Allocation_Report'!$A$9:$D$314,4,FALSE)*'OPEB Amounts_Report'!$J$326,0)</f>
        <v>47449</v>
      </c>
      <c r="K159" s="84">
        <f>ROUND(VLOOKUP(A159,'Contribution Allocation_Report'!$A$9:$D$314,4,FALSE)*'OPEB Amounts_Report'!$K$326,0)</f>
        <v>288060</v>
      </c>
      <c r="L159" s="251">
        <f>INDEX('Change in Proportion Layers'!$AG$8:$AG$324,MATCH('OPEB Amounts_Report'!A159,'Change in Proportion Layers'!$A$8:$A$324,0))</f>
        <v>116498</v>
      </c>
      <c r="M159" s="84">
        <f t="shared" si="8"/>
        <v>452007</v>
      </c>
      <c r="N159" s="85"/>
      <c r="O159" s="85">
        <f>ROUND(VLOOKUP(A159,'Contribution Allocation_Report'!$A$9:$D$314,4,FALSE)*'OPEB Amounts_Report'!$O$326,0)</f>
        <v>-92467</v>
      </c>
      <c r="P159" s="85">
        <f>INDEX('Change in Proportion Layers'!$AD$8:$AD$324,MATCH('OPEB Amounts_Report'!A159,'Change in Proportion Layers'!$A$8:$A$324,0))</f>
        <v>-29454</v>
      </c>
      <c r="Q159" s="85">
        <f t="shared" si="10"/>
        <v>-121921</v>
      </c>
    </row>
    <row r="160" spans="1:17" ht="12" customHeight="1">
      <c r="A160" s="59">
        <v>17424</v>
      </c>
      <c r="B160" s="63" t="s">
        <v>147</v>
      </c>
      <c r="C160" s="67">
        <f>ROUND(VLOOKUP(A160,'Contribution Allocation_Report'!$A$9:$D$314,4,FALSE)*'OPEB Amounts_Report'!$C$326,0)</f>
        <v>971334</v>
      </c>
      <c r="D160" s="67">
        <f>ROUND(VLOOKUP(A160,'Contribution Allocation_Report'!$A$9:$D$314,4,FALSE)*'OPEB Amounts_Report'!$D$326,0)</f>
        <v>10410</v>
      </c>
      <c r="E160" s="67">
        <f>ROUND(VLOOKUP(A160,'Contribution Allocation_Report'!$A$9:$D$314,4,FALSE)*'OPEB Amounts_Report'!$E$326,0)</f>
        <v>8683</v>
      </c>
      <c r="F160" s="67">
        <f>ROUND(VLOOKUP(A160,'Contribution Allocation_Report'!$A$9:$D$314,4,FALSE)*'OPEB Amounts_Report'!$F$326,0)</f>
        <v>181761</v>
      </c>
      <c r="G160" s="250">
        <f>INDEX('Change in Proportion Layers'!$AF$8:$AF$324,MATCH('OPEB Amounts_Report'!A160,'Change in Proportion Layers'!$A$8:$A$324,0))</f>
        <v>173801</v>
      </c>
      <c r="H160" s="67">
        <f t="shared" si="9"/>
        <v>374655</v>
      </c>
      <c r="I160" s="67"/>
      <c r="J160" s="67">
        <f>ROUND(VLOOKUP(A160,'Contribution Allocation_Report'!$A$9:$D$314,4,FALSE)*'OPEB Amounts_Report'!$J$326,0)</f>
        <v>101460</v>
      </c>
      <c r="K160" s="67">
        <f>ROUND(VLOOKUP(A160,'Contribution Allocation_Report'!$A$9:$D$314,4,FALSE)*'OPEB Amounts_Report'!$K$326,0)</f>
        <v>615959</v>
      </c>
      <c r="L160" s="67">
        <f>INDEX('Change in Proportion Layers'!$AG$8:$AG$324,MATCH('OPEB Amounts_Report'!A160,'Change in Proportion Layers'!$A$8:$A$324,0))</f>
        <v>51387</v>
      </c>
      <c r="M160" s="67">
        <f t="shared" si="8"/>
        <v>768806</v>
      </c>
      <c r="N160" s="68"/>
      <c r="O160" s="68">
        <f>ROUND(VLOOKUP(A160,'Contribution Allocation_Report'!$A$9:$D$314,4,FALSE)*'OPEB Amounts_Report'!$O$326,0)</f>
        <v>-197722</v>
      </c>
      <c r="P160" s="68">
        <f>INDEX('Change in Proportion Layers'!$AD$8:$AD$324,MATCH('OPEB Amounts_Report'!A160,'Change in Proportion Layers'!$A$8:$A$324,0))</f>
        <v>67085</v>
      </c>
      <c r="Q160" s="68">
        <f t="shared" si="10"/>
        <v>-130637</v>
      </c>
    </row>
    <row r="161" spans="1:17" ht="12" customHeight="1">
      <c r="A161" s="227">
        <v>3200</v>
      </c>
      <c r="B161" s="228" t="s">
        <v>148</v>
      </c>
      <c r="C161" s="84">
        <f>ROUND(VLOOKUP(A161,'Contribution Allocation_Report'!$A$9:$D$314,4,FALSE)*'OPEB Amounts_Report'!$C$326,0)</f>
        <v>3176803</v>
      </c>
      <c r="D161" s="84">
        <f>ROUND(VLOOKUP(A161,'Contribution Allocation_Report'!$A$9:$D$314,4,FALSE)*'OPEB Amounts_Report'!$D$326,0)</f>
        <v>34046</v>
      </c>
      <c r="E161" s="84">
        <f>ROUND(VLOOKUP(A161,'Contribution Allocation_Report'!$A$9:$D$314,4,FALSE)*'OPEB Amounts_Report'!$E$326,0)</f>
        <v>28398</v>
      </c>
      <c r="F161" s="84">
        <f>ROUND(VLOOKUP(A161,'Contribution Allocation_Report'!$A$9:$D$314,4,FALSE)*'OPEB Amounts_Report'!$F$326,0)</f>
        <v>594459</v>
      </c>
      <c r="G161" s="84">
        <f>INDEX('Change in Proportion Layers'!$AF$8:$AF$324,MATCH('OPEB Amounts_Report'!A161,'Change in Proportion Layers'!$A$8:$A$324,0))</f>
        <v>0</v>
      </c>
      <c r="H161" s="84">
        <f t="shared" si="9"/>
        <v>656903</v>
      </c>
      <c r="I161" s="84"/>
      <c r="J161" s="84">
        <f>ROUND(VLOOKUP(A161,'Contribution Allocation_Report'!$A$9:$D$314,4,FALSE)*'OPEB Amounts_Report'!$J$326,0)</f>
        <v>331831</v>
      </c>
      <c r="K161" s="84">
        <f>ROUND(VLOOKUP(A161,'Contribution Allocation_Report'!$A$9:$D$314,4,FALSE)*'OPEB Amounts_Report'!$K$326,0)</f>
        <v>2014528</v>
      </c>
      <c r="L161" s="251">
        <f>INDEX('Change in Proportion Layers'!$AG$8:$AG$324,MATCH('OPEB Amounts_Report'!A161,'Change in Proportion Layers'!$A$8:$A$324,0))</f>
        <v>893974</v>
      </c>
      <c r="M161" s="84">
        <f t="shared" si="8"/>
        <v>3240333</v>
      </c>
      <c r="N161" s="85"/>
      <c r="O161" s="85">
        <f>ROUND(VLOOKUP(A161,'Contribution Allocation_Report'!$A$9:$D$314,4,FALSE)*'OPEB Amounts_Report'!$O$326,0)</f>
        <v>-646659</v>
      </c>
      <c r="P161" s="85">
        <f>INDEX('Change in Proportion Layers'!$AD$8:$AD$324,MATCH('OPEB Amounts_Report'!A161,'Change in Proportion Layers'!$A$8:$A$324,0))</f>
        <v>-361007</v>
      </c>
      <c r="Q161" s="85">
        <f t="shared" si="10"/>
        <v>-1007666</v>
      </c>
    </row>
    <row r="162" spans="1:17" ht="12" customHeight="1">
      <c r="A162" s="59">
        <v>2365</v>
      </c>
      <c r="B162" s="63" t="s">
        <v>149</v>
      </c>
      <c r="C162" s="67">
        <f>ROUND(VLOOKUP(A162,'Contribution Allocation_Report'!$A$9:$D$314,4,FALSE)*'OPEB Amounts_Report'!$C$326,0)</f>
        <v>377895</v>
      </c>
      <c r="D162" s="67">
        <f>ROUND(VLOOKUP(A162,'Contribution Allocation_Report'!$A$9:$D$314,4,FALSE)*'OPEB Amounts_Report'!$D$326,0)</f>
        <v>4050</v>
      </c>
      <c r="E162" s="67">
        <f>ROUND(VLOOKUP(A162,'Contribution Allocation_Report'!$A$9:$D$314,4,FALSE)*'OPEB Amounts_Report'!$E$326,0)</f>
        <v>3378</v>
      </c>
      <c r="F162" s="67">
        <f>ROUND(VLOOKUP(A162,'Contribution Allocation_Report'!$A$9:$D$314,4,FALSE)*'OPEB Amounts_Report'!$F$326,0)</f>
        <v>70714</v>
      </c>
      <c r="G162" s="250">
        <f>INDEX('Change in Proportion Layers'!$AF$8:$AF$324,MATCH('OPEB Amounts_Report'!A162,'Change in Proportion Layers'!$A$8:$A$324,0))</f>
        <v>0</v>
      </c>
      <c r="H162" s="67">
        <f t="shared" si="9"/>
        <v>78142</v>
      </c>
      <c r="I162" s="67"/>
      <c r="J162" s="67">
        <f>ROUND(VLOOKUP(A162,'Contribution Allocation_Report'!$A$9:$D$314,4,FALSE)*'OPEB Amounts_Report'!$J$326,0)</f>
        <v>39473</v>
      </c>
      <c r="K162" s="67">
        <f>ROUND(VLOOKUP(A162,'Contribution Allocation_Report'!$A$9:$D$314,4,FALSE)*'OPEB Amounts_Report'!$K$326,0)</f>
        <v>239637</v>
      </c>
      <c r="L162" s="67">
        <f>INDEX('Change in Proportion Layers'!$AG$8:$AG$324,MATCH('OPEB Amounts_Report'!A162,'Change in Proportion Layers'!$A$8:$A$324,0))</f>
        <v>350338</v>
      </c>
      <c r="M162" s="67">
        <f t="shared" si="8"/>
        <v>629448</v>
      </c>
      <c r="N162" s="68"/>
      <c r="O162" s="68">
        <f>ROUND(VLOOKUP(A162,'Contribution Allocation_Report'!$A$9:$D$314,4,FALSE)*'OPEB Amounts_Report'!$O$326,0)</f>
        <v>-76923</v>
      </c>
      <c r="P162" s="68">
        <f>INDEX('Change in Proportion Layers'!$AD$8:$AD$324,MATCH('OPEB Amounts_Report'!A162,'Change in Proportion Layers'!$A$8:$A$324,0))</f>
        <v>-94052</v>
      </c>
      <c r="Q162" s="68">
        <f t="shared" si="10"/>
        <v>-170975</v>
      </c>
    </row>
    <row r="163" spans="1:17" ht="12" customHeight="1">
      <c r="A163" s="227">
        <v>5014</v>
      </c>
      <c r="B163" s="228" t="s">
        <v>150</v>
      </c>
      <c r="C163" s="84">
        <f>ROUND(VLOOKUP(A163,'Contribution Allocation_Report'!$A$9:$D$314,4,FALSE)*'OPEB Amounts_Report'!$C$326,0)</f>
        <v>685608</v>
      </c>
      <c r="D163" s="84">
        <f>ROUND(VLOOKUP(A163,'Contribution Allocation_Report'!$A$9:$D$314,4,FALSE)*'OPEB Amounts_Report'!$D$326,0)</f>
        <v>7348</v>
      </c>
      <c r="E163" s="84">
        <f>ROUND(VLOOKUP(A163,'Contribution Allocation_Report'!$A$9:$D$314,4,FALSE)*'OPEB Amounts_Report'!$E$326,0)</f>
        <v>6129</v>
      </c>
      <c r="F163" s="84">
        <f>ROUND(VLOOKUP(A163,'Contribution Allocation_Report'!$A$9:$D$314,4,FALSE)*'OPEB Amounts_Report'!$F$326,0)</f>
        <v>128294</v>
      </c>
      <c r="G163" s="84">
        <f>INDEX('Change in Proportion Layers'!$AF$8:$AF$324,MATCH('OPEB Amounts_Report'!A163,'Change in Proportion Layers'!$A$8:$A$324,0))</f>
        <v>33295</v>
      </c>
      <c r="H163" s="84">
        <f t="shared" si="9"/>
        <v>175066</v>
      </c>
      <c r="I163" s="84"/>
      <c r="J163" s="84">
        <f>ROUND(VLOOKUP(A163,'Contribution Allocation_Report'!$A$9:$D$314,4,FALSE)*'OPEB Amounts_Report'!$J$326,0)</f>
        <v>71615</v>
      </c>
      <c r="K163" s="84">
        <f>ROUND(VLOOKUP(A163,'Contribution Allocation_Report'!$A$9:$D$314,4,FALSE)*'OPEB Amounts_Report'!$K$326,0)</f>
        <v>434770</v>
      </c>
      <c r="L163" s="251">
        <f>INDEX('Change in Proportion Layers'!$AG$8:$AG$324,MATCH('OPEB Amounts_Report'!A163,'Change in Proportion Layers'!$A$8:$A$324,0))</f>
        <v>72026</v>
      </c>
      <c r="M163" s="84">
        <f t="shared" si="8"/>
        <v>578411</v>
      </c>
      <c r="N163" s="85"/>
      <c r="O163" s="85">
        <f>ROUND(VLOOKUP(A163,'Contribution Allocation_Report'!$A$9:$D$314,4,FALSE)*'OPEB Amounts_Report'!$O$326,0)</f>
        <v>-139560</v>
      </c>
      <c r="P163" s="85">
        <f>INDEX('Change in Proportion Layers'!$AD$8:$AD$324,MATCH('OPEB Amounts_Report'!A163,'Change in Proportion Layers'!$A$8:$A$324,0))</f>
        <v>-3956</v>
      </c>
      <c r="Q163" s="85">
        <f t="shared" si="10"/>
        <v>-143516</v>
      </c>
    </row>
    <row r="164" spans="1:17" ht="12" customHeight="1">
      <c r="A164" s="59">
        <v>17127</v>
      </c>
      <c r="B164" s="63" t="s">
        <v>151</v>
      </c>
      <c r="C164" s="67">
        <f>ROUND(VLOOKUP(A164,'Contribution Allocation_Report'!$A$9:$D$314,4,FALSE)*'OPEB Amounts_Report'!$C$326,0)</f>
        <v>775198</v>
      </c>
      <c r="D164" s="67">
        <f>ROUND(VLOOKUP(A164,'Contribution Allocation_Report'!$A$9:$D$314,4,FALSE)*'OPEB Amounts_Report'!$D$326,0)</f>
        <v>8308</v>
      </c>
      <c r="E164" s="67">
        <f>ROUND(VLOOKUP(A164,'Contribution Allocation_Report'!$A$9:$D$314,4,FALSE)*'OPEB Amounts_Report'!$E$326,0)</f>
        <v>6930</v>
      </c>
      <c r="F164" s="67">
        <f>ROUND(VLOOKUP(A164,'Contribution Allocation_Report'!$A$9:$D$314,4,FALSE)*'OPEB Amounts_Report'!$F$326,0)</f>
        <v>145059</v>
      </c>
      <c r="G164" s="67">
        <f>INDEX('Change in Proportion Layers'!$AF$8:$AF$324,MATCH('OPEB Amounts_Report'!A164,'Change in Proportion Layers'!$A$8:$A$324,0))</f>
        <v>204554</v>
      </c>
      <c r="H164" s="67">
        <f t="shared" si="9"/>
        <v>364851</v>
      </c>
      <c r="I164" s="67"/>
      <c r="J164" s="67">
        <f>ROUND(VLOOKUP(A164,'Contribution Allocation_Report'!$A$9:$D$314,4,FALSE)*'OPEB Amounts_Report'!$J$326,0)</f>
        <v>80973</v>
      </c>
      <c r="K164" s="67">
        <f>ROUND(VLOOKUP(A164,'Contribution Allocation_Report'!$A$9:$D$314,4,FALSE)*'OPEB Amounts_Report'!$K$326,0)</f>
        <v>491582</v>
      </c>
      <c r="L164" s="67">
        <f>INDEX('Change in Proportion Layers'!$AG$8:$AG$324,MATCH('OPEB Amounts_Report'!A164,'Change in Proportion Layers'!$A$8:$A$324,0))</f>
        <v>132708</v>
      </c>
      <c r="M164" s="67">
        <f t="shared" si="8"/>
        <v>705263</v>
      </c>
      <c r="N164" s="68"/>
      <c r="O164" s="68">
        <f>ROUND(VLOOKUP(A164,'Contribution Allocation_Report'!$A$9:$D$314,4,FALSE)*'OPEB Amounts_Report'!$O$326,0)</f>
        <v>-157797</v>
      </c>
      <c r="P164" s="68">
        <f>INDEX('Change in Proportion Layers'!$AD$8:$AD$324,MATCH('OPEB Amounts_Report'!A164,'Change in Proportion Layers'!$A$8:$A$324,0))</f>
        <v>-70641</v>
      </c>
      <c r="Q164" s="68">
        <f t="shared" si="10"/>
        <v>-228438</v>
      </c>
    </row>
    <row r="165" spans="1:17" ht="12" customHeight="1">
      <c r="A165" s="227">
        <v>10141</v>
      </c>
      <c r="B165" s="228" t="s">
        <v>152</v>
      </c>
      <c r="C165" s="84">
        <f>ROUND(VLOOKUP(A165,'Contribution Allocation_Report'!$A$9:$D$314,4,FALSE)*'OPEB Amounts_Report'!$C$326,0)</f>
        <v>997148</v>
      </c>
      <c r="D165" s="84">
        <f>ROUND(VLOOKUP(A165,'Contribution Allocation_Report'!$A$9:$D$314,4,FALSE)*'OPEB Amounts_Report'!$D$326,0)</f>
        <v>10686</v>
      </c>
      <c r="E165" s="84">
        <f>ROUND(VLOOKUP(A165,'Contribution Allocation_Report'!$A$9:$D$314,4,FALSE)*'OPEB Amounts_Report'!$E$326,0)</f>
        <v>8914</v>
      </c>
      <c r="F165" s="84">
        <f>ROUND(VLOOKUP(A165,'Contribution Allocation_Report'!$A$9:$D$314,4,FALSE)*'OPEB Amounts_Report'!$F$326,0)</f>
        <v>186591</v>
      </c>
      <c r="G165" s="84">
        <f>INDEX('Change in Proportion Layers'!$AF$8:$AF$324,MATCH('OPEB Amounts_Report'!A165,'Change in Proportion Layers'!$A$8:$A$324,0))</f>
        <v>816916</v>
      </c>
      <c r="H165" s="84">
        <f t="shared" si="9"/>
        <v>1023107</v>
      </c>
      <c r="I165" s="84"/>
      <c r="J165" s="84">
        <f>ROUND(VLOOKUP(A165,'Contribution Allocation_Report'!$A$9:$D$314,4,FALSE)*'OPEB Amounts_Report'!$J$326,0)</f>
        <v>104156</v>
      </c>
      <c r="K165" s="84">
        <f>ROUND(VLOOKUP(A165,'Contribution Allocation_Report'!$A$9:$D$314,4,FALSE)*'OPEB Amounts_Report'!$K$326,0)</f>
        <v>632328</v>
      </c>
      <c r="L165" s="84">
        <f>INDEX('Change in Proportion Layers'!$AG$8:$AG$324,MATCH('OPEB Amounts_Report'!A165,'Change in Proportion Layers'!$A$8:$A$324,0))</f>
        <v>1206628</v>
      </c>
      <c r="M165" s="84">
        <f t="shared" si="8"/>
        <v>1943112</v>
      </c>
      <c r="N165" s="85"/>
      <c r="O165" s="85">
        <f>ROUND(VLOOKUP(A165,'Contribution Allocation_Report'!$A$9:$D$314,4,FALSE)*'OPEB Amounts_Report'!$O$326,0)</f>
        <v>-202976</v>
      </c>
      <c r="P165" s="85">
        <f>INDEX('Change in Proportion Layers'!$AD$8:$AD$324,MATCH('OPEB Amounts_Report'!A165,'Change in Proportion Layers'!$A$8:$A$324,0))</f>
        <v>-64814</v>
      </c>
      <c r="Q165" s="85">
        <f t="shared" si="10"/>
        <v>-267790</v>
      </c>
    </row>
    <row r="166" spans="1:17" s="190" customFormat="1" ht="12" customHeight="1">
      <c r="A166" s="59">
        <v>4570</v>
      </c>
      <c r="B166" s="63" t="s">
        <v>400</v>
      </c>
      <c r="C166" s="67">
        <f>ROUND(VLOOKUP(A166,'Contribution Allocation_Report'!$A$9:$D$314,4,FALSE)*'OPEB Amounts_Report'!$C$326,0)</f>
        <v>2708085</v>
      </c>
      <c r="D166" s="67">
        <f>ROUND(VLOOKUP(A166,'Contribution Allocation_Report'!$A$9:$D$314,4,FALSE)*'OPEB Amounts_Report'!$D$326,0)</f>
        <v>29023</v>
      </c>
      <c r="E166" s="67">
        <f>ROUND(VLOOKUP(A166,'Contribution Allocation_Report'!$A$9:$D$314,4,FALSE)*'OPEB Amounts_Report'!$E$326,0)</f>
        <v>24208</v>
      </c>
      <c r="F166" s="67">
        <f>ROUND(VLOOKUP(A166,'Contribution Allocation_Report'!$A$9:$D$314,4,FALSE)*'OPEB Amounts_Report'!$F$326,0)</f>
        <v>506751</v>
      </c>
      <c r="G166" s="67">
        <f>INDEX('Change in Proportion Layers'!$AF$8:$AF$324,MATCH('OPEB Amounts_Report'!A166,'Change in Proportion Layers'!$A$8:$A$324,0))</f>
        <v>401568</v>
      </c>
      <c r="H166" s="67">
        <f>SUM(D166:G166)</f>
        <v>961550</v>
      </c>
      <c r="I166" s="67"/>
      <c r="J166" s="67">
        <f>ROUND(VLOOKUP(A166,'Contribution Allocation_Report'!$A$9:$D$314,4,FALSE)*'OPEB Amounts_Report'!$J$326,0)</f>
        <v>282871</v>
      </c>
      <c r="K166" s="67">
        <f>ROUND(VLOOKUP(A166,'Contribution Allocation_Report'!$A$9:$D$314,4,FALSE)*'OPEB Amounts_Report'!$K$326,0)</f>
        <v>1717297</v>
      </c>
      <c r="L166" s="250">
        <f>INDEX('Change in Proportion Layers'!$AG$8:$AG$324,MATCH('OPEB Amounts_Report'!A166,'Change in Proportion Layers'!$A$8:$A$324,0))</f>
        <v>233776</v>
      </c>
      <c r="M166" s="67">
        <f t="shared" si="8"/>
        <v>2233944</v>
      </c>
      <c r="N166" s="68"/>
      <c r="O166" s="68">
        <f>ROUND(VLOOKUP(A166,'Contribution Allocation_Report'!$A$9:$D$314,4,FALSE)*'OPEB Amounts_Report'!$O$326,0)</f>
        <v>-551249</v>
      </c>
      <c r="P166" s="68">
        <f>INDEX('Change in Proportion Layers'!$AD$8:$AD$324,MATCH('OPEB Amounts_Report'!A166,'Change in Proportion Layers'!$A$8:$A$324,0))</f>
        <v>944694</v>
      </c>
      <c r="Q166" s="68">
        <f t="shared" si="10"/>
        <v>393445</v>
      </c>
    </row>
    <row r="167" spans="1:17" ht="12" customHeight="1">
      <c r="A167" s="227">
        <v>13369</v>
      </c>
      <c r="B167" s="228" t="s">
        <v>153</v>
      </c>
      <c r="C167" s="84">
        <f>ROUND(VLOOKUP(A167,'Contribution Allocation_Report'!$A$9:$D$314,4,FALSE)*'OPEB Amounts_Report'!$C$326,0)</f>
        <v>253074</v>
      </c>
      <c r="D167" s="84">
        <f>ROUND(VLOOKUP(A167,'Contribution Allocation_Report'!$A$9:$D$314,4,FALSE)*'OPEB Amounts_Report'!$D$326,0)</f>
        <v>2712</v>
      </c>
      <c r="E167" s="84">
        <f>ROUND(VLOOKUP(A167,'Contribution Allocation_Report'!$A$9:$D$314,4,FALSE)*'OPEB Amounts_Report'!$E$326,0)</f>
        <v>2262</v>
      </c>
      <c r="F167" s="84">
        <f>ROUND(VLOOKUP(A167,'Contribution Allocation_Report'!$A$9:$D$314,4,FALSE)*'OPEB Amounts_Report'!$F$326,0)</f>
        <v>47357</v>
      </c>
      <c r="G167" s="84">
        <f>INDEX('Change in Proportion Layers'!$AF$8:$AF$324,MATCH('OPEB Amounts_Report'!A167,'Change in Proportion Layers'!$A$8:$A$324,0))</f>
        <v>41264</v>
      </c>
      <c r="H167" s="84">
        <f t="shared" si="9"/>
        <v>93595</v>
      </c>
      <c r="I167" s="84"/>
      <c r="J167" s="84">
        <f>ROUND(VLOOKUP(A167,'Contribution Allocation_Report'!$A$9:$D$314,4,FALSE)*'OPEB Amounts_Report'!$J$326,0)</f>
        <v>26435</v>
      </c>
      <c r="K167" s="84">
        <f>ROUND(VLOOKUP(A167,'Contribution Allocation_Report'!$A$9:$D$314,4,FALSE)*'OPEB Amounts_Report'!$K$326,0)</f>
        <v>160484</v>
      </c>
      <c r="L167" s="84">
        <f>INDEX('Change in Proportion Layers'!$AG$8:$AG$324,MATCH('OPEB Amounts_Report'!A167,'Change in Proportion Layers'!$A$8:$A$324,0))</f>
        <v>33896</v>
      </c>
      <c r="M167" s="84">
        <f t="shared" si="8"/>
        <v>220815</v>
      </c>
      <c r="N167" s="85"/>
      <c r="O167" s="85">
        <f>ROUND(VLOOKUP(A167,'Contribution Allocation_Report'!$A$9:$D$314,4,FALSE)*'OPEB Amounts_Report'!$O$326,0)</f>
        <v>-51515</v>
      </c>
      <c r="P167" s="85">
        <f>INDEX('Change in Proportion Layers'!$AD$8:$AD$324,MATCH('OPEB Amounts_Report'!A167,'Change in Proportion Layers'!$A$8:$A$324,0))</f>
        <v>9520</v>
      </c>
      <c r="Q167" s="85">
        <f t="shared" si="10"/>
        <v>-41995</v>
      </c>
    </row>
    <row r="168" spans="1:17" ht="12" customHeight="1">
      <c r="A168" s="59">
        <v>2425</v>
      </c>
      <c r="B168" s="63" t="s">
        <v>154</v>
      </c>
      <c r="C168" s="67">
        <f>ROUND(VLOOKUP(A168,'Contribution Allocation_Report'!$A$9:$D$314,4,FALSE)*'OPEB Amounts_Report'!$C$326,0)</f>
        <v>4506440</v>
      </c>
      <c r="D168" s="67">
        <f>ROUND(VLOOKUP(A168,'Contribution Allocation_Report'!$A$9:$D$314,4,FALSE)*'OPEB Amounts_Report'!$D$326,0)</f>
        <v>48296</v>
      </c>
      <c r="E168" s="67">
        <f>ROUND(VLOOKUP(A168,'Contribution Allocation_Report'!$A$9:$D$314,4,FALSE)*'OPEB Amounts_Report'!$E$326,0)</f>
        <v>40283</v>
      </c>
      <c r="F168" s="67">
        <f>ROUND(VLOOKUP(A168,'Contribution Allocation_Report'!$A$9:$D$314,4,FALSE)*'OPEB Amounts_Report'!$F$326,0)</f>
        <v>843268</v>
      </c>
      <c r="G168" s="67">
        <f>INDEX('Change in Proportion Layers'!$AF$8:$AF$324,MATCH('OPEB Amounts_Report'!A168,'Change in Proportion Layers'!$A$8:$A$324,0))</f>
        <v>3743255</v>
      </c>
      <c r="H168" s="67">
        <f t="shared" si="9"/>
        <v>4675102</v>
      </c>
      <c r="I168" s="67"/>
      <c r="J168" s="67">
        <f>ROUND(VLOOKUP(A168,'Contribution Allocation_Report'!$A$9:$D$314,4,FALSE)*'OPEB Amounts_Report'!$J$326,0)</f>
        <v>470717</v>
      </c>
      <c r="K168" s="67">
        <f>ROUND(VLOOKUP(A168,'Contribution Allocation_Report'!$A$9:$D$314,4,FALSE)*'OPEB Amounts_Report'!$K$326,0)</f>
        <v>2857700</v>
      </c>
      <c r="L168" s="67">
        <f>INDEX('Change in Proportion Layers'!$AG$8:$AG$324,MATCH('OPEB Amounts_Report'!A168,'Change in Proportion Layers'!$A$8:$A$324,0))</f>
        <v>1401702</v>
      </c>
      <c r="M168" s="67">
        <f t="shared" si="8"/>
        <v>4730119</v>
      </c>
      <c r="N168" s="68"/>
      <c r="O168" s="68">
        <f>ROUND(VLOOKUP(A168,'Contribution Allocation_Report'!$A$9:$D$314,4,FALSE)*'OPEB Amounts_Report'!$O$326,0)</f>
        <v>-917316</v>
      </c>
      <c r="P168" s="68">
        <f>INDEX('Change in Proportion Layers'!$AD$8:$AD$324,MATCH('OPEB Amounts_Report'!A168,'Change in Proportion Layers'!$A$8:$A$324,0))</f>
        <v>1347041</v>
      </c>
      <c r="Q168" s="68">
        <f t="shared" si="10"/>
        <v>429725</v>
      </c>
    </row>
    <row r="169" spans="1:17" ht="12" customHeight="1">
      <c r="A169" s="227">
        <v>1306</v>
      </c>
      <c r="B169" s="228" t="s">
        <v>155</v>
      </c>
      <c r="C169" s="84">
        <f>ROUND(VLOOKUP(A169,'Contribution Allocation_Report'!$A$9:$D$314,4,FALSE)*'OPEB Amounts_Report'!$C$326,0)</f>
        <v>763062</v>
      </c>
      <c r="D169" s="84">
        <f>ROUND(VLOOKUP(A169,'Contribution Allocation_Report'!$A$9:$D$314,4,FALSE)*'OPEB Amounts_Report'!$D$326,0)</f>
        <v>8178</v>
      </c>
      <c r="E169" s="84">
        <f>ROUND(VLOOKUP(A169,'Contribution Allocation_Report'!$A$9:$D$314,4,FALSE)*'OPEB Amounts_Report'!$E$326,0)</f>
        <v>6821</v>
      </c>
      <c r="F169" s="84">
        <f>ROUND(VLOOKUP(A169,'Contribution Allocation_Report'!$A$9:$D$314,4,FALSE)*'OPEB Amounts_Report'!$F$326,0)</f>
        <v>142788</v>
      </c>
      <c r="G169" s="84">
        <f>INDEX('Change in Proportion Layers'!$AF$8:$AF$324,MATCH('OPEB Amounts_Report'!A169,'Change in Proportion Layers'!$A$8:$A$324,0))</f>
        <v>139605</v>
      </c>
      <c r="H169" s="84">
        <f t="shared" si="9"/>
        <v>297392</v>
      </c>
      <c r="I169" s="84"/>
      <c r="J169" s="84">
        <f>ROUND(VLOOKUP(A169,'Contribution Allocation_Report'!$A$9:$D$314,4,FALSE)*'OPEB Amounts_Report'!$J$326,0)</f>
        <v>79705</v>
      </c>
      <c r="K169" s="84">
        <f>ROUND(VLOOKUP(A169,'Contribution Allocation_Report'!$A$9:$D$314,4,FALSE)*'OPEB Amounts_Report'!$K$326,0)</f>
        <v>483886</v>
      </c>
      <c r="L169" s="84">
        <f>INDEX('Change in Proportion Layers'!$AG$8:$AG$324,MATCH('OPEB Amounts_Report'!A169,'Change in Proportion Layers'!$A$8:$A$324,0))</f>
        <v>225669</v>
      </c>
      <c r="M169" s="84">
        <f t="shared" si="8"/>
        <v>789260</v>
      </c>
      <c r="N169" s="85"/>
      <c r="O169" s="85">
        <f>ROUND(VLOOKUP(A169,'Contribution Allocation_Report'!$A$9:$D$314,4,FALSE)*'OPEB Amounts_Report'!$O$326,0)</f>
        <v>-155326</v>
      </c>
      <c r="P169" s="85">
        <f>INDEX('Change in Proportion Layers'!$AD$8:$AD$324,MATCH('OPEB Amounts_Report'!A169,'Change in Proportion Layers'!$A$8:$A$324,0))</f>
        <v>25299</v>
      </c>
      <c r="Q169" s="85">
        <f t="shared" si="10"/>
        <v>-130027</v>
      </c>
    </row>
    <row r="170" spans="1:17" ht="12" customHeight="1">
      <c r="A170" s="59">
        <v>2351</v>
      </c>
      <c r="B170" s="63" t="s">
        <v>156</v>
      </c>
      <c r="C170" s="67">
        <f>ROUND(VLOOKUP(A170,'Contribution Allocation_Report'!$A$9:$D$314,4,FALSE)*'OPEB Amounts_Report'!$C$326,0)</f>
        <v>838470</v>
      </c>
      <c r="D170" s="67">
        <f>ROUND(VLOOKUP(A170,'Contribution Allocation_Report'!$A$9:$D$314,4,FALSE)*'OPEB Amounts_Report'!$D$326,0)</f>
        <v>8986</v>
      </c>
      <c r="E170" s="67">
        <f>ROUND(VLOOKUP(A170,'Contribution Allocation_Report'!$A$9:$D$314,4,FALSE)*'OPEB Amounts_Report'!$E$326,0)</f>
        <v>7495</v>
      </c>
      <c r="F170" s="67">
        <f>ROUND(VLOOKUP(A170,'Contribution Allocation_Report'!$A$9:$D$314,4,FALSE)*'OPEB Amounts_Report'!$F$326,0)</f>
        <v>156899</v>
      </c>
      <c r="G170" s="67">
        <f>INDEX('Change in Proportion Layers'!$AF$8:$AF$324,MATCH('OPEB Amounts_Report'!A170,'Change in Proportion Layers'!$A$8:$A$324,0))</f>
        <v>289598</v>
      </c>
      <c r="H170" s="67">
        <f t="shared" si="9"/>
        <v>462978</v>
      </c>
      <c r="I170" s="67"/>
      <c r="J170" s="67">
        <f>ROUND(VLOOKUP(A170,'Contribution Allocation_Report'!$A$9:$D$314,4,FALSE)*'OPEB Amounts_Report'!$J$326,0)</f>
        <v>87582</v>
      </c>
      <c r="K170" s="67">
        <f>ROUND(VLOOKUP(A170,'Contribution Allocation_Report'!$A$9:$D$314,4,FALSE)*'OPEB Amounts_Report'!$K$326,0)</f>
        <v>531705</v>
      </c>
      <c r="L170" s="250">
        <f>INDEX('Change in Proportion Layers'!$AG$8:$AG$324,MATCH('OPEB Amounts_Report'!A170,'Change in Proportion Layers'!$A$8:$A$324,0))</f>
        <v>58830</v>
      </c>
      <c r="M170" s="67">
        <f t="shared" si="8"/>
        <v>678117</v>
      </c>
      <c r="N170" s="68"/>
      <c r="O170" s="68">
        <f>ROUND(VLOOKUP(A170,'Contribution Allocation_Report'!$A$9:$D$314,4,FALSE)*'OPEB Amounts_Report'!$O$326,0)</f>
        <v>-170676</v>
      </c>
      <c r="P170" s="68">
        <f>INDEX('Change in Proportion Layers'!$AD$8:$AD$324,MATCH('OPEB Amounts_Report'!A170,'Change in Proportion Layers'!$A$8:$A$324,0))</f>
        <v>86751</v>
      </c>
      <c r="Q170" s="68">
        <f t="shared" si="10"/>
        <v>-83925</v>
      </c>
    </row>
    <row r="171" spans="1:17" ht="12" customHeight="1">
      <c r="A171" s="227">
        <v>2334</v>
      </c>
      <c r="B171" s="228" t="s">
        <v>157</v>
      </c>
      <c r="C171" s="84">
        <f>ROUND(VLOOKUP(A171,'Contribution Allocation_Report'!$A$9:$D$314,4,FALSE)*'OPEB Amounts_Report'!$C$326,0)</f>
        <v>585312</v>
      </c>
      <c r="D171" s="84">
        <f>ROUND(VLOOKUP(A171,'Contribution Allocation_Report'!$A$9:$D$314,4,FALSE)*'OPEB Amounts_Report'!$D$326,0)</f>
        <v>6273</v>
      </c>
      <c r="E171" s="84">
        <f>ROUND(VLOOKUP(A171,'Contribution Allocation_Report'!$A$9:$D$314,4,FALSE)*'OPEB Amounts_Report'!$E$326,0)</f>
        <v>5232</v>
      </c>
      <c r="F171" s="84">
        <f>ROUND(VLOOKUP(A171,'Contribution Allocation_Report'!$A$9:$D$314,4,FALSE)*'OPEB Amounts_Report'!$F$326,0)</f>
        <v>109527</v>
      </c>
      <c r="G171" s="84">
        <f>INDEX('Change in Proportion Layers'!$AF$8:$AF$324,MATCH('OPEB Amounts_Report'!A171,'Change in Proportion Layers'!$A$8:$A$324,0))</f>
        <v>155284</v>
      </c>
      <c r="H171" s="84">
        <f t="shared" si="9"/>
        <v>276316</v>
      </c>
      <c r="I171" s="84"/>
      <c r="J171" s="84">
        <f>ROUND(VLOOKUP(A171,'Contribution Allocation_Report'!$A$9:$D$314,4,FALSE)*'OPEB Amounts_Report'!$J$326,0)</f>
        <v>61138</v>
      </c>
      <c r="K171" s="84">
        <f>ROUND(VLOOKUP(A171,'Contribution Allocation_Report'!$A$9:$D$314,4,FALSE)*'OPEB Amounts_Report'!$K$326,0)</f>
        <v>371168</v>
      </c>
      <c r="L171" s="84">
        <f>INDEX('Change in Proportion Layers'!$AG$8:$AG$324,MATCH('OPEB Amounts_Report'!A171,'Change in Proportion Layers'!$A$8:$A$324,0))</f>
        <v>33996</v>
      </c>
      <c r="M171" s="84">
        <f t="shared" si="8"/>
        <v>466302</v>
      </c>
      <c r="N171" s="85"/>
      <c r="O171" s="85">
        <f>ROUND(VLOOKUP(A171,'Contribution Allocation_Report'!$A$9:$D$314,4,FALSE)*'OPEB Amounts_Report'!$O$326,0)</f>
        <v>-119144</v>
      </c>
      <c r="P171" s="85">
        <f>INDEX('Change in Proportion Layers'!$AD$8:$AD$324,MATCH('OPEB Amounts_Report'!A171,'Change in Proportion Layers'!$A$8:$A$324,0))</f>
        <v>51438</v>
      </c>
      <c r="Q171" s="85">
        <f t="shared" si="10"/>
        <v>-67706</v>
      </c>
    </row>
    <row r="172" spans="1:17" ht="12" customHeight="1">
      <c r="A172" s="59">
        <v>30089</v>
      </c>
      <c r="B172" s="63" t="s">
        <v>158</v>
      </c>
      <c r="C172" s="67">
        <f>ROUND(VLOOKUP(A172,'Contribution Allocation_Report'!$A$9:$D$314,4,FALSE)*'OPEB Amounts_Report'!$C$326,0)</f>
        <v>1467729</v>
      </c>
      <c r="D172" s="67">
        <f>ROUND(VLOOKUP(A172,'Contribution Allocation_Report'!$A$9:$D$314,4,FALSE)*'OPEB Amounts_Report'!$D$326,0)</f>
        <v>15730</v>
      </c>
      <c r="E172" s="67">
        <f>ROUND(VLOOKUP(A172,'Contribution Allocation_Report'!$A$9:$D$314,4,FALSE)*'OPEB Amounts_Report'!$E$326,0)</f>
        <v>13120</v>
      </c>
      <c r="F172" s="67">
        <f>ROUND(VLOOKUP(A172,'Contribution Allocation_Report'!$A$9:$D$314,4,FALSE)*'OPEB Amounts_Report'!$F$326,0)</f>
        <v>274649</v>
      </c>
      <c r="G172" s="67">
        <f>INDEX('Change in Proportion Layers'!$AF$8:$AF$324,MATCH('OPEB Amounts_Report'!A172,'Change in Proportion Layers'!$A$8:$A$324,0))</f>
        <v>271527</v>
      </c>
      <c r="H172" s="67">
        <f t="shared" si="9"/>
        <v>575026</v>
      </c>
      <c r="I172" s="67"/>
      <c r="J172" s="67">
        <f>ROUND(VLOOKUP(A172,'Contribution Allocation_Report'!$A$9:$D$314,4,FALSE)*'OPEB Amounts_Report'!$J$326,0)</f>
        <v>153311</v>
      </c>
      <c r="K172" s="67">
        <f>ROUND(VLOOKUP(A172,'Contribution Allocation_Report'!$A$9:$D$314,4,FALSE)*'OPEB Amounts_Report'!$K$326,0)</f>
        <v>930741</v>
      </c>
      <c r="L172" s="250">
        <f>INDEX('Change in Proportion Layers'!$AG$8:$AG$324,MATCH('OPEB Amounts_Report'!A172,'Change in Proportion Layers'!$A$8:$A$324,0))</f>
        <v>394372</v>
      </c>
      <c r="M172" s="67">
        <f t="shared" si="8"/>
        <v>1478424</v>
      </c>
      <c r="N172" s="68"/>
      <c r="O172" s="68">
        <f>ROUND(VLOOKUP(A172,'Contribution Allocation_Report'!$A$9:$D$314,4,FALSE)*'OPEB Amounts_Report'!$O$326,0)</f>
        <v>-298766</v>
      </c>
      <c r="P172" s="68">
        <f>INDEX('Change in Proportion Layers'!$AD$8:$AD$324,MATCH('OPEB Amounts_Report'!A172,'Change in Proportion Layers'!$A$8:$A$324,0))</f>
        <v>-29162</v>
      </c>
      <c r="Q172" s="68">
        <f t="shared" si="10"/>
        <v>-327928</v>
      </c>
    </row>
    <row r="173" spans="1:17" ht="12" customHeight="1">
      <c r="A173" s="227">
        <v>9324</v>
      </c>
      <c r="B173" s="228" t="s">
        <v>159</v>
      </c>
      <c r="C173" s="84">
        <f>ROUND(VLOOKUP(A173,'Contribution Allocation_Report'!$A$9:$D$314,4,FALSE)*'OPEB Amounts_Report'!$C$326,0)</f>
        <v>176909</v>
      </c>
      <c r="D173" s="84">
        <f>ROUND(VLOOKUP(A173,'Contribution Allocation_Report'!$A$9:$D$314,4,FALSE)*'OPEB Amounts_Report'!$D$326,0)</f>
        <v>1896</v>
      </c>
      <c r="E173" s="84">
        <f>ROUND(VLOOKUP(A173,'Contribution Allocation_Report'!$A$9:$D$314,4,FALSE)*'OPEB Amounts_Report'!$E$326,0)</f>
        <v>1581</v>
      </c>
      <c r="F173" s="84">
        <f>ROUND(VLOOKUP(A173,'Contribution Allocation_Report'!$A$9:$D$314,4,FALSE)*'OPEB Amounts_Report'!$F$326,0)</f>
        <v>33104</v>
      </c>
      <c r="G173" s="251">
        <f>INDEX('Change in Proportion Layers'!$AF$8:$AF$324,MATCH('OPEB Amounts_Report'!A173,'Change in Proportion Layers'!$A$8:$A$324,0))</f>
        <v>80463</v>
      </c>
      <c r="H173" s="84">
        <f t="shared" si="9"/>
        <v>117044</v>
      </c>
      <c r="I173" s="84"/>
      <c r="J173" s="84">
        <f>ROUND(VLOOKUP(A173,'Contribution Allocation_Report'!$A$9:$D$314,4,FALSE)*'OPEB Amounts_Report'!$J$326,0)</f>
        <v>18479</v>
      </c>
      <c r="K173" s="84">
        <f>ROUND(VLOOKUP(A173,'Contribution Allocation_Report'!$A$9:$D$314,4,FALSE)*'OPEB Amounts_Report'!$K$326,0)</f>
        <v>112185</v>
      </c>
      <c r="L173" s="84">
        <f>INDEX('Change in Proportion Layers'!$AG$8:$AG$324,MATCH('OPEB Amounts_Report'!A173,'Change in Proportion Layers'!$A$8:$A$324,0))</f>
        <v>108965</v>
      </c>
      <c r="M173" s="84">
        <f t="shared" si="8"/>
        <v>239629</v>
      </c>
      <c r="N173" s="85"/>
      <c r="O173" s="85">
        <f>ROUND(VLOOKUP(A173,'Contribution Allocation_Report'!$A$9:$D$314,4,FALSE)*'OPEB Amounts_Report'!$O$326,0)</f>
        <v>-36011</v>
      </c>
      <c r="P173" s="85">
        <f>INDEX('Change in Proportion Layers'!$AD$8:$AD$324,MATCH('OPEB Amounts_Report'!A173,'Change in Proportion Layers'!$A$8:$A$324,0))</f>
        <v>14237</v>
      </c>
      <c r="Q173" s="85">
        <f t="shared" si="10"/>
        <v>-21774</v>
      </c>
    </row>
    <row r="174" spans="1:17" ht="12" customHeight="1">
      <c r="A174" s="59">
        <v>22066</v>
      </c>
      <c r="B174" s="63" t="s">
        <v>160</v>
      </c>
      <c r="C174" s="67">
        <f>ROUND(VLOOKUP(A174,'Contribution Allocation_Report'!$A$9:$D$314,4,FALSE)*'OPEB Amounts_Report'!$C$326,0)</f>
        <v>6248713</v>
      </c>
      <c r="D174" s="67">
        <f>ROUND(VLOOKUP(A174,'Contribution Allocation_Report'!$A$9:$D$314,4,FALSE)*'OPEB Amounts_Report'!$D$326,0)</f>
        <v>66968</v>
      </c>
      <c r="E174" s="67">
        <f>ROUND(VLOOKUP(A174,'Contribution Allocation_Report'!$A$9:$D$314,4,FALSE)*'OPEB Amounts_Report'!$E$326,0)</f>
        <v>55857</v>
      </c>
      <c r="F174" s="67">
        <f>ROUND(VLOOKUP(A174,'Contribution Allocation_Report'!$A$9:$D$314,4,FALSE)*'OPEB Amounts_Report'!$F$326,0)</f>
        <v>1169291</v>
      </c>
      <c r="G174" s="67">
        <f>INDEX('Change in Proportion Layers'!$AF$8:$AF$324,MATCH('OPEB Amounts_Report'!A174,'Change in Proportion Layers'!$A$8:$A$324,0))</f>
        <v>1210728</v>
      </c>
      <c r="H174" s="67">
        <f t="shared" si="9"/>
        <v>2502844</v>
      </c>
      <c r="I174" s="67"/>
      <c r="J174" s="67">
        <f>ROUND(VLOOKUP(A174,'Contribution Allocation_Report'!$A$9:$D$314,4,FALSE)*'OPEB Amounts_Report'!$J$326,0)</f>
        <v>652705</v>
      </c>
      <c r="K174" s="67">
        <f>ROUND(VLOOKUP(A174,'Contribution Allocation_Report'!$A$9:$D$314,4,FALSE)*'OPEB Amounts_Report'!$K$326,0)</f>
        <v>3962540</v>
      </c>
      <c r="L174" s="250">
        <f>INDEX('Change in Proportion Layers'!$AG$8:$AG$324,MATCH('OPEB Amounts_Report'!A174,'Change in Proportion Layers'!$A$8:$A$324,0))</f>
        <v>120647</v>
      </c>
      <c r="M174" s="67">
        <f t="shared" si="8"/>
        <v>4735892</v>
      </c>
      <c r="N174" s="68"/>
      <c r="O174" s="68">
        <f>ROUND(VLOOKUP(A174,'Contribution Allocation_Report'!$A$9:$D$314,4,FALSE)*'OPEB Amounts_Report'!$O$326,0)</f>
        <v>-1271967</v>
      </c>
      <c r="P174" s="68">
        <f>INDEX('Change in Proportion Layers'!$AD$8:$AD$324,MATCH('OPEB Amounts_Report'!A174,'Change in Proportion Layers'!$A$8:$A$324,0))</f>
        <v>270851</v>
      </c>
      <c r="Q174" s="68">
        <f t="shared" si="10"/>
        <v>-1001116</v>
      </c>
    </row>
    <row r="175" spans="1:17" ht="12" customHeight="1">
      <c r="A175" s="227">
        <v>16356</v>
      </c>
      <c r="B175" s="228" t="s">
        <v>161</v>
      </c>
      <c r="C175" s="84">
        <f>ROUND(VLOOKUP(A175,'Contribution Allocation_Report'!$A$9:$D$314,4,FALSE)*'OPEB Amounts_Report'!$C$326,0)</f>
        <v>387003</v>
      </c>
      <c r="D175" s="84">
        <f>ROUND(VLOOKUP(A175,'Contribution Allocation_Report'!$A$9:$D$314,4,FALSE)*'OPEB Amounts_Report'!$D$326,0)</f>
        <v>4148</v>
      </c>
      <c r="E175" s="84">
        <f>ROUND(VLOOKUP(A175,'Contribution Allocation_Report'!$A$9:$D$314,4,FALSE)*'OPEB Amounts_Report'!$E$326,0)</f>
        <v>3459</v>
      </c>
      <c r="F175" s="84">
        <f>ROUND(VLOOKUP(A175,'Contribution Allocation_Report'!$A$9:$D$314,4,FALSE)*'OPEB Amounts_Report'!$F$326,0)</f>
        <v>72418</v>
      </c>
      <c r="G175" s="251">
        <f>INDEX('Change in Proportion Layers'!$AF$8:$AF$324,MATCH('OPEB Amounts_Report'!A175,'Change in Proportion Layers'!$A$8:$A$324,0))</f>
        <v>92073</v>
      </c>
      <c r="H175" s="84">
        <f t="shared" si="9"/>
        <v>172098</v>
      </c>
      <c r="I175" s="84"/>
      <c r="J175" s="84">
        <f>ROUND(VLOOKUP(A175,'Contribution Allocation_Report'!$A$9:$D$314,4,FALSE)*'OPEB Amounts_Report'!$J$326,0)</f>
        <v>40424</v>
      </c>
      <c r="K175" s="84">
        <f>ROUND(VLOOKUP(A175,'Contribution Allocation_Report'!$A$9:$D$314,4,FALSE)*'OPEB Amounts_Report'!$K$326,0)</f>
        <v>245413</v>
      </c>
      <c r="L175" s="84">
        <f>INDEX('Change in Proportion Layers'!$AG$8:$AG$324,MATCH('OPEB Amounts_Report'!A175,'Change in Proportion Layers'!$A$8:$A$324,0))</f>
        <v>10834</v>
      </c>
      <c r="M175" s="84">
        <f t="shared" si="8"/>
        <v>296671</v>
      </c>
      <c r="N175" s="85"/>
      <c r="O175" s="85">
        <f>ROUND(VLOOKUP(A175,'Contribution Allocation_Report'!$A$9:$D$314,4,FALSE)*'OPEB Amounts_Report'!$O$326,0)</f>
        <v>-78777</v>
      </c>
      <c r="P175" s="85">
        <f>INDEX('Change in Proportion Layers'!$AD$8:$AD$324,MATCH('OPEB Amounts_Report'!A175,'Change in Proportion Layers'!$A$8:$A$324,0))</f>
        <v>22135</v>
      </c>
      <c r="Q175" s="85">
        <f t="shared" si="10"/>
        <v>-56642</v>
      </c>
    </row>
    <row r="176" spans="1:17" ht="12" customHeight="1">
      <c r="A176" s="59">
        <v>31091</v>
      </c>
      <c r="B176" s="63" t="s">
        <v>162</v>
      </c>
      <c r="C176" s="67">
        <f>ROUND(VLOOKUP(A176,'Contribution Allocation_Report'!$A$9:$D$314,4,FALSE)*'OPEB Amounts_Report'!$C$326,0)</f>
        <v>364694</v>
      </c>
      <c r="D176" s="67">
        <f>ROUND(VLOOKUP(A176,'Contribution Allocation_Report'!$A$9:$D$314,4,FALSE)*'OPEB Amounts_Report'!$D$326,0)</f>
        <v>3908</v>
      </c>
      <c r="E176" s="67">
        <f>ROUND(VLOOKUP(A176,'Contribution Allocation_Report'!$A$9:$D$314,4,FALSE)*'OPEB Amounts_Report'!$E$326,0)</f>
        <v>3260</v>
      </c>
      <c r="F176" s="67">
        <f>ROUND(VLOOKUP(A176,'Contribution Allocation_Report'!$A$9:$D$314,4,FALSE)*'OPEB Amounts_Report'!$F$326,0)</f>
        <v>68243</v>
      </c>
      <c r="G176" s="67">
        <f>INDEX('Change in Proportion Layers'!$AF$8:$AF$324,MATCH('OPEB Amounts_Report'!A176,'Change in Proportion Layers'!$A$8:$A$324,0))</f>
        <v>138841</v>
      </c>
      <c r="H176" s="67">
        <f t="shared" si="9"/>
        <v>214252</v>
      </c>
      <c r="I176" s="67"/>
      <c r="J176" s="67">
        <f>ROUND(VLOOKUP(A176,'Contribution Allocation_Report'!$A$9:$D$314,4,FALSE)*'OPEB Amounts_Report'!$J$326,0)</f>
        <v>38094</v>
      </c>
      <c r="K176" s="67">
        <f>ROUND(VLOOKUP(A176,'Contribution Allocation_Report'!$A$9:$D$314,4,FALSE)*'OPEB Amounts_Report'!$K$326,0)</f>
        <v>231266</v>
      </c>
      <c r="L176" s="250">
        <f>INDEX('Change in Proportion Layers'!$AG$8:$AG$324,MATCH('OPEB Amounts_Report'!A176,'Change in Proportion Layers'!$A$8:$A$324,0))</f>
        <v>43787</v>
      </c>
      <c r="M176" s="67">
        <f t="shared" si="8"/>
        <v>313147</v>
      </c>
      <c r="N176" s="68"/>
      <c r="O176" s="68">
        <f>ROUND(VLOOKUP(A176,'Contribution Allocation_Report'!$A$9:$D$314,4,FALSE)*'OPEB Amounts_Report'!$O$326,0)</f>
        <v>-74236</v>
      </c>
      <c r="P176" s="68">
        <f>INDEX('Change in Proportion Layers'!$AD$8:$AD$324,MATCH('OPEB Amounts_Report'!A176,'Change in Proportion Layers'!$A$8:$A$324,0))</f>
        <v>38717</v>
      </c>
      <c r="Q176" s="68">
        <f t="shared" si="10"/>
        <v>-35519</v>
      </c>
    </row>
    <row r="177" spans="1:17" ht="12" customHeight="1">
      <c r="A177" s="227">
        <v>2342</v>
      </c>
      <c r="B177" s="228" t="s">
        <v>163</v>
      </c>
      <c r="C177" s="84">
        <f>ROUND(VLOOKUP(A177,'Contribution Allocation_Report'!$A$9:$D$314,4,FALSE)*'OPEB Amounts_Report'!$C$326,0)</f>
        <v>590119</v>
      </c>
      <c r="D177" s="84">
        <f>ROUND(VLOOKUP(A177,'Contribution Allocation_Report'!$A$9:$D$314,4,FALSE)*'OPEB Amounts_Report'!$D$326,0)</f>
        <v>6324</v>
      </c>
      <c r="E177" s="84">
        <f>ROUND(VLOOKUP(A177,'Contribution Allocation_Report'!$A$9:$D$314,4,FALSE)*'OPEB Amounts_Report'!$E$326,0)</f>
        <v>5275</v>
      </c>
      <c r="F177" s="84">
        <f>ROUND(VLOOKUP(A177,'Contribution Allocation_Report'!$A$9:$D$314,4,FALSE)*'OPEB Amounts_Report'!$F$326,0)</f>
        <v>110426</v>
      </c>
      <c r="G177" s="84">
        <f>INDEX('Change in Proportion Layers'!$AF$8:$AF$324,MATCH('OPEB Amounts_Report'!A177,'Change in Proportion Layers'!$A$8:$A$324,0))</f>
        <v>252814</v>
      </c>
      <c r="H177" s="84">
        <f t="shared" si="9"/>
        <v>374839</v>
      </c>
      <c r="I177" s="84"/>
      <c r="J177" s="84">
        <f>ROUND(VLOOKUP(A177,'Contribution Allocation_Report'!$A$9:$D$314,4,FALSE)*'OPEB Amounts_Report'!$J$326,0)</f>
        <v>61640</v>
      </c>
      <c r="K177" s="84">
        <f>ROUND(VLOOKUP(A177,'Contribution Allocation_Report'!$A$9:$D$314,4,FALSE)*'OPEB Amounts_Report'!$K$326,0)</f>
        <v>374216</v>
      </c>
      <c r="L177" s="84">
        <f>INDEX('Change in Proportion Layers'!$AG$8:$AG$324,MATCH('OPEB Amounts_Report'!A177,'Change in Proportion Layers'!$A$8:$A$324,0))</f>
        <v>106548</v>
      </c>
      <c r="M177" s="84">
        <f t="shared" si="8"/>
        <v>542404</v>
      </c>
      <c r="N177" s="85"/>
      <c r="O177" s="85">
        <f>ROUND(VLOOKUP(A177,'Contribution Allocation_Report'!$A$9:$D$314,4,FALSE)*'OPEB Amounts_Report'!$O$326,0)</f>
        <v>-120123</v>
      </c>
      <c r="P177" s="85">
        <f>INDEX('Change in Proportion Layers'!$AD$8:$AD$324,MATCH('OPEB Amounts_Report'!A177,'Change in Proportion Layers'!$A$8:$A$324,0))</f>
        <v>73088</v>
      </c>
      <c r="Q177" s="85">
        <f t="shared" si="10"/>
        <v>-47035</v>
      </c>
    </row>
    <row r="178" spans="1:17" ht="12" customHeight="1">
      <c r="A178" s="59">
        <v>22067</v>
      </c>
      <c r="B178" s="63" t="s">
        <v>164</v>
      </c>
      <c r="C178" s="67">
        <f>ROUND(VLOOKUP(A178,'Contribution Allocation_Report'!$A$9:$D$314,4,FALSE)*'OPEB Amounts_Report'!$C$326,0)</f>
        <v>845953</v>
      </c>
      <c r="D178" s="67">
        <f>ROUND(VLOOKUP(A178,'Contribution Allocation_Report'!$A$9:$D$314,4,FALSE)*'OPEB Amounts_Report'!$D$326,0)</f>
        <v>9066</v>
      </c>
      <c r="E178" s="67">
        <f>ROUND(VLOOKUP(A178,'Contribution Allocation_Report'!$A$9:$D$314,4,FALSE)*'OPEB Amounts_Report'!$E$326,0)</f>
        <v>7562</v>
      </c>
      <c r="F178" s="67">
        <f>ROUND(VLOOKUP(A178,'Contribution Allocation_Report'!$A$9:$D$314,4,FALSE)*'OPEB Amounts_Report'!$F$326,0)</f>
        <v>158299</v>
      </c>
      <c r="G178" s="67">
        <f>INDEX('Change in Proportion Layers'!$AF$8:$AF$324,MATCH('OPEB Amounts_Report'!A178,'Change in Proportion Layers'!$A$8:$A$324,0))</f>
        <v>308723</v>
      </c>
      <c r="H178" s="67">
        <f t="shared" si="9"/>
        <v>483650</v>
      </c>
      <c r="I178" s="67"/>
      <c r="J178" s="67">
        <f>ROUND(VLOOKUP(A178,'Contribution Allocation_Report'!$A$9:$D$314,4,FALSE)*'OPEB Amounts_Report'!$J$326,0)</f>
        <v>88364</v>
      </c>
      <c r="K178" s="67">
        <f>ROUND(VLOOKUP(A178,'Contribution Allocation_Report'!$A$9:$D$314,4,FALSE)*'OPEB Amounts_Report'!$K$326,0)</f>
        <v>536450</v>
      </c>
      <c r="L178" s="67">
        <f>INDEX('Change in Proportion Layers'!$AG$8:$AG$324,MATCH('OPEB Amounts_Report'!A178,'Change in Proportion Layers'!$A$8:$A$324,0))</f>
        <v>241324</v>
      </c>
      <c r="M178" s="67">
        <f t="shared" si="8"/>
        <v>866138</v>
      </c>
      <c r="N178" s="68"/>
      <c r="O178" s="68">
        <f>ROUND(VLOOKUP(A178,'Contribution Allocation_Report'!$A$9:$D$314,4,FALSE)*'OPEB Amounts_Report'!$O$326,0)</f>
        <v>-172199</v>
      </c>
      <c r="P178" s="68">
        <f>INDEX('Change in Proportion Layers'!$AD$8:$AD$324,MATCH('OPEB Amounts_Report'!A178,'Change in Proportion Layers'!$A$8:$A$324,0))</f>
        <v>47596</v>
      </c>
      <c r="Q178" s="68">
        <f t="shared" si="10"/>
        <v>-124603</v>
      </c>
    </row>
    <row r="179" spans="1:17" ht="12" customHeight="1">
      <c r="A179" s="227">
        <v>32112</v>
      </c>
      <c r="B179" s="228" t="s">
        <v>165</v>
      </c>
      <c r="C179" s="84">
        <f>ROUND(VLOOKUP(A179,'Contribution Allocation_Report'!$A$9:$D$314,4,FALSE)*'OPEB Amounts_Report'!$C$326,0)</f>
        <v>326969</v>
      </c>
      <c r="D179" s="84">
        <f>ROUND(VLOOKUP(A179,'Contribution Allocation_Report'!$A$9:$D$314,4,FALSE)*'OPEB Amounts_Report'!$D$326,0)</f>
        <v>3504</v>
      </c>
      <c r="E179" s="84">
        <f>ROUND(VLOOKUP(A179,'Contribution Allocation_Report'!$A$9:$D$314,4,FALSE)*'OPEB Amounts_Report'!$E$326,0)</f>
        <v>2923</v>
      </c>
      <c r="F179" s="84">
        <f>ROUND(VLOOKUP(A179,'Contribution Allocation_Report'!$A$9:$D$314,4,FALSE)*'OPEB Amounts_Report'!$F$326,0)</f>
        <v>61184</v>
      </c>
      <c r="G179" s="84">
        <f>INDEX('Change in Proportion Layers'!$AF$8:$AF$324,MATCH('OPEB Amounts_Report'!A179,'Change in Proportion Layers'!$A$8:$A$324,0))</f>
        <v>20364</v>
      </c>
      <c r="H179" s="84">
        <f t="shared" si="9"/>
        <v>87975</v>
      </c>
      <c r="I179" s="84"/>
      <c r="J179" s="84">
        <f>ROUND(VLOOKUP(A179,'Contribution Allocation_Report'!$A$9:$D$314,4,FALSE)*'OPEB Amounts_Report'!$J$326,0)</f>
        <v>34153</v>
      </c>
      <c r="K179" s="84">
        <f>ROUND(VLOOKUP(A179,'Contribution Allocation_Report'!$A$9:$D$314,4,FALSE)*'OPEB Amounts_Report'!$K$326,0)</f>
        <v>207343</v>
      </c>
      <c r="L179" s="84">
        <f>INDEX('Change in Proportion Layers'!$AG$8:$AG$324,MATCH('OPEB Amounts_Report'!A179,'Change in Proportion Layers'!$A$8:$A$324,0))</f>
        <v>203166</v>
      </c>
      <c r="M179" s="84">
        <f t="shared" si="8"/>
        <v>444662</v>
      </c>
      <c r="N179" s="85"/>
      <c r="O179" s="85">
        <f>ROUND(VLOOKUP(A179,'Contribution Allocation_Report'!$A$9:$D$314,4,FALSE)*'OPEB Amounts_Report'!$O$326,0)</f>
        <v>-66557</v>
      </c>
      <c r="P179" s="85">
        <f>INDEX('Change in Proportion Layers'!$AD$8:$AD$324,MATCH('OPEB Amounts_Report'!A179,'Change in Proportion Layers'!$A$8:$A$324,0))</f>
        <v>-50925</v>
      </c>
      <c r="Q179" s="85">
        <f t="shared" si="10"/>
        <v>-117482</v>
      </c>
    </row>
    <row r="180" spans="1:17" ht="12" customHeight="1">
      <c r="A180" s="59">
        <v>2354</v>
      </c>
      <c r="B180" s="63" t="s">
        <v>166</v>
      </c>
      <c r="C180" s="67">
        <f>ROUND(VLOOKUP(A180,'Contribution Allocation_Report'!$A$9:$D$314,4,FALSE)*'OPEB Amounts_Report'!$C$326,0)</f>
        <v>1317502</v>
      </c>
      <c r="D180" s="67">
        <f>ROUND(VLOOKUP(A180,'Contribution Allocation_Report'!$A$9:$D$314,4,FALSE)*'OPEB Amounts_Report'!$D$326,0)</f>
        <v>14120</v>
      </c>
      <c r="E180" s="67">
        <f>ROUND(VLOOKUP(A180,'Contribution Allocation_Report'!$A$9:$D$314,4,FALSE)*'OPEB Amounts_Report'!$E$326,0)</f>
        <v>11777</v>
      </c>
      <c r="F180" s="67">
        <f>ROUND(VLOOKUP(A180,'Contribution Allocation_Report'!$A$9:$D$314,4,FALSE)*'OPEB Amounts_Report'!$F$326,0)</f>
        <v>246538</v>
      </c>
      <c r="G180" s="67">
        <f>INDEX('Change in Proportion Layers'!$AF$8:$AF$324,MATCH('OPEB Amounts_Report'!A180,'Change in Proportion Layers'!$A$8:$A$324,0))</f>
        <v>228082</v>
      </c>
      <c r="H180" s="67">
        <f t="shared" si="9"/>
        <v>500517</v>
      </c>
      <c r="I180" s="67"/>
      <c r="J180" s="67">
        <f>ROUND(VLOOKUP(A180,'Contribution Allocation_Report'!$A$9:$D$314,4,FALSE)*'OPEB Amounts_Report'!$J$326,0)</f>
        <v>137619</v>
      </c>
      <c r="K180" s="67">
        <f>ROUND(VLOOKUP(A180,'Contribution Allocation_Report'!$A$9:$D$314,4,FALSE)*'OPEB Amounts_Report'!$K$326,0)</f>
        <v>835477</v>
      </c>
      <c r="L180" s="67">
        <f>INDEX('Change in Proportion Layers'!$AG$8:$AG$324,MATCH('OPEB Amounts_Report'!A180,'Change in Proportion Layers'!$A$8:$A$324,0))</f>
        <v>126659</v>
      </c>
      <c r="M180" s="67">
        <f t="shared" si="8"/>
        <v>1099755</v>
      </c>
      <c r="N180" s="68"/>
      <c r="O180" s="68">
        <f>ROUND(VLOOKUP(A180,'Contribution Allocation_Report'!$A$9:$D$314,4,FALSE)*'OPEB Amounts_Report'!$O$326,0)</f>
        <v>-268186</v>
      </c>
      <c r="P180" s="68">
        <f>INDEX('Change in Proportion Layers'!$AD$8:$AD$324,MATCH('OPEB Amounts_Report'!A180,'Change in Proportion Layers'!$A$8:$A$324,0))</f>
        <v>46875</v>
      </c>
      <c r="Q180" s="68">
        <f t="shared" si="10"/>
        <v>-221311</v>
      </c>
    </row>
    <row r="181" spans="1:17" ht="12" customHeight="1">
      <c r="A181" s="227">
        <v>2148</v>
      </c>
      <c r="B181" s="228" t="s">
        <v>167</v>
      </c>
      <c r="C181" s="84">
        <f>ROUND(VLOOKUP(A181,'Contribution Allocation_Report'!$A$9:$D$314,4,FALSE)*'OPEB Amounts_Report'!$C$326,0)</f>
        <v>386359</v>
      </c>
      <c r="D181" s="84">
        <f>ROUND(VLOOKUP(A181,'Contribution Allocation_Report'!$A$9:$D$314,4,FALSE)*'OPEB Amounts_Report'!$D$326,0)</f>
        <v>4141</v>
      </c>
      <c r="E181" s="84">
        <f>ROUND(VLOOKUP(A181,'Contribution Allocation_Report'!$A$9:$D$314,4,FALSE)*'OPEB Amounts_Report'!$E$326,0)</f>
        <v>3454</v>
      </c>
      <c r="F181" s="84">
        <f>ROUND(VLOOKUP(A181,'Contribution Allocation_Report'!$A$9:$D$314,4,FALSE)*'OPEB Amounts_Report'!$F$326,0)</f>
        <v>72297</v>
      </c>
      <c r="G181" s="84">
        <f>INDEX('Change in Proportion Layers'!$AF$8:$AF$324,MATCH('OPEB Amounts_Report'!A181,'Change in Proportion Layers'!$A$8:$A$324,0))</f>
        <v>0</v>
      </c>
      <c r="H181" s="84">
        <f t="shared" si="9"/>
        <v>79892</v>
      </c>
      <c r="I181" s="84"/>
      <c r="J181" s="84">
        <f>ROUND(VLOOKUP(A181,'Contribution Allocation_Report'!$A$9:$D$314,4,FALSE)*'OPEB Amounts_Report'!$J$326,0)</f>
        <v>40357</v>
      </c>
      <c r="K181" s="84">
        <f>ROUND(VLOOKUP(A181,'Contribution Allocation_Report'!$A$9:$D$314,4,FALSE)*'OPEB Amounts_Report'!$K$326,0)</f>
        <v>245004</v>
      </c>
      <c r="L181" s="251">
        <f>INDEX('Change in Proportion Layers'!$AG$8:$AG$324,MATCH('OPEB Amounts_Report'!A181,'Change in Proportion Layers'!$A$8:$A$324,0))</f>
        <v>73075</v>
      </c>
      <c r="M181" s="84">
        <f t="shared" si="8"/>
        <v>358436</v>
      </c>
      <c r="N181" s="85"/>
      <c r="O181" s="85">
        <f>ROUND(VLOOKUP(A181,'Contribution Allocation_Report'!$A$9:$D$314,4,FALSE)*'OPEB Amounts_Report'!$O$326,0)</f>
        <v>-78646</v>
      </c>
      <c r="P181" s="85">
        <f>INDEX('Change in Proportion Layers'!$AD$8:$AD$324,MATCH('OPEB Amounts_Report'!A181,'Change in Proportion Layers'!$A$8:$A$324,0))</f>
        <v>-24030</v>
      </c>
      <c r="Q181" s="85">
        <f t="shared" si="10"/>
        <v>-102676</v>
      </c>
    </row>
    <row r="182" spans="1:17" ht="12" customHeight="1">
      <c r="A182" s="59">
        <v>1418</v>
      </c>
      <c r="B182" s="63" t="s">
        <v>168</v>
      </c>
      <c r="C182" s="67">
        <f>ROUND(VLOOKUP(A182,'Contribution Allocation_Report'!$A$9:$D$314,4,FALSE)*'OPEB Amounts_Report'!$C$326,0)</f>
        <v>1769809</v>
      </c>
      <c r="D182" s="67">
        <f>ROUND(VLOOKUP(A182,'Contribution Allocation_Report'!$A$9:$D$314,4,FALSE)*'OPEB Amounts_Report'!$D$326,0)</f>
        <v>18967</v>
      </c>
      <c r="E182" s="67">
        <f>ROUND(VLOOKUP(A182,'Contribution Allocation_Report'!$A$9:$D$314,4,FALSE)*'OPEB Amounts_Report'!$E$326,0)</f>
        <v>15820</v>
      </c>
      <c r="F182" s="67">
        <f>ROUND(VLOOKUP(A182,'Contribution Allocation_Report'!$A$9:$D$314,4,FALSE)*'OPEB Amounts_Report'!$F$326,0)</f>
        <v>331176</v>
      </c>
      <c r="G182" s="67">
        <f>INDEX('Change in Proportion Layers'!$AF$8:$AF$324,MATCH('OPEB Amounts_Report'!A182,'Change in Proportion Layers'!$A$8:$A$324,0))</f>
        <v>687582</v>
      </c>
      <c r="H182" s="67">
        <f t="shared" si="9"/>
        <v>1053545</v>
      </c>
      <c r="I182" s="67"/>
      <c r="J182" s="67">
        <f>ROUND(VLOOKUP(A182,'Contribution Allocation_Report'!$A$9:$D$314,4,FALSE)*'OPEB Amounts_Report'!$J$326,0)</f>
        <v>184864</v>
      </c>
      <c r="K182" s="67">
        <f>ROUND(VLOOKUP(A182,'Contribution Allocation_Report'!$A$9:$D$314,4,FALSE)*'OPEB Amounts_Report'!$K$326,0)</f>
        <v>1122301</v>
      </c>
      <c r="L182" s="250">
        <f>INDEX('Change in Proportion Layers'!$AG$8:$AG$324,MATCH('OPEB Amounts_Report'!A182,'Change in Proportion Layers'!$A$8:$A$324,0))</f>
        <v>33297</v>
      </c>
      <c r="M182" s="67">
        <f t="shared" si="8"/>
        <v>1340462</v>
      </c>
      <c r="N182" s="68"/>
      <c r="O182" s="68">
        <f>ROUND(VLOOKUP(A182,'Contribution Allocation_Report'!$A$9:$D$314,4,FALSE)*'OPEB Amounts_Report'!$O$326,0)</f>
        <v>-360256</v>
      </c>
      <c r="P182" s="68">
        <f>INDEX('Change in Proportion Layers'!$AD$8:$AD$324,MATCH('OPEB Amounts_Report'!A182,'Change in Proportion Layers'!$A$8:$A$324,0))</f>
        <v>231356</v>
      </c>
      <c r="Q182" s="68">
        <f t="shared" si="10"/>
        <v>-128900</v>
      </c>
    </row>
    <row r="183" spans="1:17" ht="12" customHeight="1">
      <c r="A183" s="227">
        <v>12102</v>
      </c>
      <c r="B183" s="228" t="s">
        <v>169</v>
      </c>
      <c r="C183" s="84">
        <f>ROUND(VLOOKUP(A183,'Contribution Allocation_Report'!$A$9:$D$314,4,FALSE)*'OPEB Amounts_Report'!$C$326,0)</f>
        <v>8845375</v>
      </c>
      <c r="D183" s="84">
        <f>ROUND(VLOOKUP(A183,'Contribution Allocation_Report'!$A$9:$D$314,4,FALSE)*'OPEB Amounts_Report'!$D$326,0)</f>
        <v>94796</v>
      </c>
      <c r="E183" s="84">
        <f>ROUND(VLOOKUP(A183,'Contribution Allocation_Report'!$A$9:$D$314,4,FALSE)*'OPEB Amounts_Report'!$E$326,0)</f>
        <v>79069</v>
      </c>
      <c r="F183" s="84">
        <f>ROUND(VLOOKUP(A183,'Contribution Allocation_Report'!$A$9:$D$314,4,FALSE)*'OPEB Amounts_Report'!$F$326,0)</f>
        <v>1655191</v>
      </c>
      <c r="G183" s="84">
        <f>INDEX('Change in Proportion Layers'!$AF$8:$AF$324,MATCH('OPEB Amounts_Report'!A183,'Change in Proportion Layers'!$A$8:$A$324,0))</f>
        <v>1165154</v>
      </c>
      <c r="H183" s="84">
        <f t="shared" si="9"/>
        <v>2994210</v>
      </c>
      <c r="I183" s="84"/>
      <c r="J183" s="84">
        <f>ROUND(VLOOKUP(A183,'Contribution Allocation_Report'!$A$9:$D$314,4,FALSE)*'OPEB Amounts_Report'!$J$326,0)</f>
        <v>923938</v>
      </c>
      <c r="K183" s="84">
        <f>ROUND(VLOOKUP(A183,'Contribution Allocation_Report'!$A$9:$D$314,4,FALSE)*'OPEB Amounts_Report'!$K$326,0)</f>
        <v>5609179</v>
      </c>
      <c r="L183" s="84">
        <f>INDEX('Change in Proportion Layers'!$AG$8:$AG$324,MATCH('OPEB Amounts_Report'!A183,'Change in Proportion Layers'!$A$8:$A$324,0))</f>
        <v>1887323</v>
      </c>
      <c r="M183" s="84">
        <f t="shared" si="8"/>
        <v>8420440</v>
      </c>
      <c r="N183" s="85"/>
      <c r="O183" s="85">
        <f>ROUND(VLOOKUP(A183,'Contribution Allocation_Report'!$A$9:$D$314,4,FALSE)*'OPEB Amounts_Report'!$O$326,0)</f>
        <v>-1800535</v>
      </c>
      <c r="P183" s="85">
        <f>INDEX('Change in Proportion Layers'!$AD$8:$AD$324,MATCH('OPEB Amounts_Report'!A183,'Change in Proportion Layers'!$A$8:$A$324,0))</f>
        <v>-221510</v>
      </c>
      <c r="Q183" s="85">
        <f t="shared" si="10"/>
        <v>-2022045</v>
      </c>
    </row>
    <row r="184" spans="1:17" ht="12" customHeight="1">
      <c r="A184" s="59">
        <v>2414</v>
      </c>
      <c r="B184" s="63" t="s">
        <v>170</v>
      </c>
      <c r="C184" s="67">
        <f>ROUND(VLOOKUP(A184,'Contribution Allocation_Report'!$A$9:$D$314,4,FALSE)*'OPEB Amounts_Report'!$C$326,0)</f>
        <v>894049</v>
      </c>
      <c r="D184" s="67">
        <f>ROUND(VLOOKUP(A184,'Contribution Allocation_Report'!$A$9:$D$314,4,FALSE)*'OPEB Amounts_Report'!$D$326,0)</f>
        <v>9582</v>
      </c>
      <c r="E184" s="67">
        <f>ROUND(VLOOKUP(A184,'Contribution Allocation_Report'!$A$9:$D$314,4,FALSE)*'OPEB Amounts_Report'!$E$326,0)</f>
        <v>7992</v>
      </c>
      <c r="F184" s="67">
        <f>ROUND(VLOOKUP(A184,'Contribution Allocation_Report'!$A$9:$D$314,4,FALSE)*'OPEB Amounts_Report'!$F$326,0)</f>
        <v>167299</v>
      </c>
      <c r="G184" s="67">
        <f>INDEX('Change in Proportion Layers'!$AF$8:$AF$324,MATCH('OPEB Amounts_Report'!A184,'Change in Proportion Layers'!$A$8:$A$324,0))</f>
        <v>469869</v>
      </c>
      <c r="H184" s="67">
        <f t="shared" si="9"/>
        <v>654742</v>
      </c>
      <c r="I184" s="67"/>
      <c r="J184" s="67">
        <f>ROUND(VLOOKUP(A184,'Contribution Allocation_Report'!$A$9:$D$314,4,FALSE)*'OPEB Amounts_Report'!$J$326,0)</f>
        <v>93387</v>
      </c>
      <c r="K184" s="67">
        <f>ROUND(VLOOKUP(A184,'Contribution Allocation_Report'!$A$9:$D$314,4,FALSE)*'OPEB Amounts_Report'!$K$326,0)</f>
        <v>566949</v>
      </c>
      <c r="L184" s="67">
        <f>INDEX('Change in Proportion Layers'!$AG$8:$AG$324,MATCH('OPEB Amounts_Report'!A184,'Change in Proportion Layers'!$A$8:$A$324,0))</f>
        <v>69304</v>
      </c>
      <c r="M184" s="67">
        <f t="shared" si="8"/>
        <v>729640</v>
      </c>
      <c r="N184" s="68"/>
      <c r="O184" s="68">
        <f>ROUND(VLOOKUP(A184,'Contribution Allocation_Report'!$A$9:$D$314,4,FALSE)*'OPEB Amounts_Report'!$O$326,0)</f>
        <v>-181990</v>
      </c>
      <c r="P184" s="68">
        <f>INDEX('Change in Proportion Layers'!$AD$8:$AD$324,MATCH('OPEB Amounts_Report'!A184,'Change in Proportion Layers'!$A$8:$A$324,0))</f>
        <v>249080</v>
      </c>
      <c r="Q184" s="68">
        <f t="shared" si="10"/>
        <v>67090</v>
      </c>
    </row>
    <row r="185" spans="1:17" ht="12" customHeight="1">
      <c r="A185" s="227">
        <v>6124</v>
      </c>
      <c r="B185" s="228" t="s">
        <v>171</v>
      </c>
      <c r="C185" s="84">
        <f>ROUND(VLOOKUP(A185,'Contribution Allocation_Report'!$A$9:$D$314,4,FALSE)*'OPEB Amounts_Report'!$C$326,0)</f>
        <v>5290565</v>
      </c>
      <c r="D185" s="84">
        <f>ROUND(VLOOKUP(A185,'Contribution Allocation_Report'!$A$9:$D$314,4,FALSE)*'OPEB Amounts_Report'!$D$326,0)</f>
        <v>56699</v>
      </c>
      <c r="E185" s="84">
        <f>ROUND(VLOOKUP(A185,'Contribution Allocation_Report'!$A$9:$D$314,4,FALSE)*'OPEB Amounts_Report'!$E$326,0)</f>
        <v>47293</v>
      </c>
      <c r="F185" s="84">
        <f>ROUND(VLOOKUP(A185,'Contribution Allocation_Report'!$A$9:$D$314,4,FALSE)*'OPEB Amounts_Report'!$F$326,0)</f>
        <v>989997</v>
      </c>
      <c r="G185" s="84">
        <f>INDEX('Change in Proportion Layers'!$AF$8:$AF$324,MATCH('OPEB Amounts_Report'!A185,'Change in Proportion Layers'!$A$8:$A$324,0))</f>
        <v>1392075</v>
      </c>
      <c r="H185" s="84">
        <f t="shared" si="9"/>
        <v>2486064</v>
      </c>
      <c r="I185" s="84"/>
      <c r="J185" s="84">
        <f>ROUND(VLOOKUP(A185,'Contribution Allocation_Report'!$A$9:$D$314,4,FALSE)*'OPEB Amounts_Report'!$J$326,0)</f>
        <v>552623</v>
      </c>
      <c r="K185" s="84">
        <f>ROUND(VLOOKUP(A185,'Contribution Allocation_Report'!$A$9:$D$314,4,FALSE)*'OPEB Amounts_Report'!$K$326,0)</f>
        <v>3354943</v>
      </c>
      <c r="L185" s="84">
        <f>INDEX('Change in Proportion Layers'!$AG$8:$AG$324,MATCH('OPEB Amounts_Report'!A185,'Change in Proportion Layers'!$A$8:$A$324,0))</f>
        <v>534423</v>
      </c>
      <c r="M185" s="84">
        <f t="shared" si="8"/>
        <v>4441989</v>
      </c>
      <c r="N185" s="85"/>
      <c r="O185" s="85">
        <f>ROUND(VLOOKUP(A185,'Contribution Allocation_Report'!$A$9:$D$314,4,FALSE)*'OPEB Amounts_Report'!$O$326,0)</f>
        <v>-1076930</v>
      </c>
      <c r="P185" s="85">
        <f>INDEX('Change in Proportion Layers'!$AD$8:$AD$324,MATCH('OPEB Amounts_Report'!A185,'Change in Proportion Layers'!$A$8:$A$324,0))</f>
        <v>-145157</v>
      </c>
      <c r="Q185" s="85">
        <f t="shared" si="10"/>
        <v>-1222087</v>
      </c>
    </row>
    <row r="186" spans="1:17" ht="12" customHeight="1">
      <c r="A186" s="59">
        <v>4097</v>
      </c>
      <c r="B186" s="63" t="s">
        <v>172</v>
      </c>
      <c r="C186" s="67">
        <f>ROUND(VLOOKUP(A186,'Contribution Allocation_Report'!$A$9:$D$314,4,FALSE)*'OPEB Amounts_Report'!$C$326,0)</f>
        <v>5095130</v>
      </c>
      <c r="D186" s="67">
        <f>ROUND(VLOOKUP(A186,'Contribution Allocation_Report'!$A$9:$D$314,4,FALSE)*'OPEB Amounts_Report'!$D$326,0)</f>
        <v>54605</v>
      </c>
      <c r="E186" s="67">
        <f>ROUND(VLOOKUP(A186,'Contribution Allocation_Report'!$A$9:$D$314,4,FALSE)*'OPEB Amounts_Report'!$E$326,0)</f>
        <v>45546</v>
      </c>
      <c r="F186" s="67">
        <f>ROUND(VLOOKUP(A186,'Contribution Allocation_Report'!$A$9:$D$314,4,FALSE)*'OPEB Amounts_Report'!$F$326,0)</f>
        <v>953426</v>
      </c>
      <c r="G186" s="67">
        <f>INDEX('Change in Proportion Layers'!$AF$8:$AF$324,MATCH('OPEB Amounts_Report'!A186,'Change in Proportion Layers'!$A$8:$A$324,0))</f>
        <v>63761</v>
      </c>
      <c r="H186" s="67">
        <f t="shared" si="9"/>
        <v>1117338</v>
      </c>
      <c r="I186" s="67"/>
      <c r="J186" s="67">
        <f>ROUND(VLOOKUP(A186,'Contribution Allocation_Report'!$A$9:$D$314,4,FALSE)*'OPEB Amounts_Report'!$J$326,0)</f>
        <v>532209</v>
      </c>
      <c r="K186" s="67">
        <f>ROUND(VLOOKUP(A186,'Contribution Allocation_Report'!$A$9:$D$314,4,FALSE)*'OPEB Amounts_Report'!$K$326,0)</f>
        <v>3231010</v>
      </c>
      <c r="L186" s="67">
        <f>INDEX('Change in Proportion Layers'!$AG$8:$AG$324,MATCH('OPEB Amounts_Report'!A186,'Change in Proportion Layers'!$A$8:$A$324,0))</f>
        <v>514003</v>
      </c>
      <c r="M186" s="67">
        <f t="shared" si="8"/>
        <v>4277222</v>
      </c>
      <c r="N186" s="68"/>
      <c r="O186" s="68">
        <f>ROUND(VLOOKUP(A186,'Contribution Allocation_Report'!$A$9:$D$314,4,FALSE)*'OPEB Amounts_Report'!$O$326,0)</f>
        <v>-1037147</v>
      </c>
      <c r="P186" s="68">
        <f>INDEX('Change in Proportion Layers'!$AD$8:$AD$324,MATCH('OPEB Amounts_Report'!A186,'Change in Proportion Layers'!$A$8:$A$324,0))</f>
        <v>-240038</v>
      </c>
      <c r="Q186" s="68">
        <f t="shared" si="10"/>
        <v>-1277185</v>
      </c>
    </row>
    <row r="187" spans="1:17" ht="12" customHeight="1">
      <c r="A187" s="227">
        <v>1416</v>
      </c>
      <c r="B187" s="228" t="s">
        <v>173</v>
      </c>
      <c r="C187" s="84">
        <f>ROUND(VLOOKUP(A187,'Contribution Allocation_Report'!$A$9:$D$314,4,FALSE)*'OPEB Amounts_Report'!$C$326,0)</f>
        <v>768289</v>
      </c>
      <c r="D187" s="84">
        <f>ROUND(VLOOKUP(A187,'Contribution Allocation_Report'!$A$9:$D$314,4,FALSE)*'OPEB Amounts_Report'!$D$326,0)</f>
        <v>8234</v>
      </c>
      <c r="E187" s="84">
        <f>ROUND(VLOOKUP(A187,'Contribution Allocation_Report'!$A$9:$D$314,4,FALSE)*'OPEB Amounts_Report'!$E$326,0)</f>
        <v>6868</v>
      </c>
      <c r="F187" s="84">
        <f>ROUND(VLOOKUP(A187,'Contribution Allocation_Report'!$A$9:$D$314,4,FALSE)*'OPEB Amounts_Report'!$F$326,0)</f>
        <v>143766</v>
      </c>
      <c r="G187" s="84">
        <f>INDEX('Change in Proportion Layers'!$AF$8:$AF$324,MATCH('OPEB Amounts_Report'!A187,'Change in Proportion Layers'!$A$8:$A$324,0))</f>
        <v>222055</v>
      </c>
      <c r="H187" s="84">
        <f t="shared" si="9"/>
        <v>380923</v>
      </c>
      <c r="I187" s="84"/>
      <c r="J187" s="84">
        <f>ROUND(VLOOKUP(A187,'Contribution Allocation_Report'!$A$9:$D$314,4,FALSE)*'OPEB Amounts_Report'!$J$326,0)</f>
        <v>80251</v>
      </c>
      <c r="K187" s="84">
        <f>ROUND(VLOOKUP(A187,'Contribution Allocation_Report'!$A$9:$D$314,4,FALSE)*'OPEB Amounts_Report'!$K$326,0)</f>
        <v>487201</v>
      </c>
      <c r="L187" s="251">
        <f>INDEX('Change in Proportion Layers'!$AG$8:$AG$324,MATCH('OPEB Amounts_Report'!A187,'Change in Proportion Layers'!$A$8:$A$324,0))</f>
        <v>0</v>
      </c>
      <c r="M187" s="84">
        <f t="shared" si="8"/>
        <v>567452</v>
      </c>
      <c r="N187" s="85"/>
      <c r="O187" s="85">
        <f>ROUND(VLOOKUP(A187,'Contribution Allocation_Report'!$A$9:$D$314,4,FALSE)*'OPEB Amounts_Report'!$O$326,0)</f>
        <v>-156390</v>
      </c>
      <c r="P187" s="85">
        <f>INDEX('Change in Proportion Layers'!$AD$8:$AD$324,MATCH('OPEB Amounts_Report'!A187,'Change in Proportion Layers'!$A$8:$A$324,0))</f>
        <v>91209</v>
      </c>
      <c r="Q187" s="85">
        <f t="shared" si="10"/>
        <v>-65181</v>
      </c>
    </row>
    <row r="188" spans="1:17" ht="12" customHeight="1">
      <c r="A188" s="59">
        <v>1094</v>
      </c>
      <c r="B188" s="63" t="s">
        <v>174</v>
      </c>
      <c r="C188" s="67">
        <f>ROUND(VLOOKUP(A188,'Contribution Allocation_Report'!$A$9:$D$314,4,FALSE)*'OPEB Amounts_Report'!$C$326,0)</f>
        <v>3398360</v>
      </c>
      <c r="D188" s="67">
        <f>ROUND(VLOOKUP(A188,'Contribution Allocation_Report'!$A$9:$D$314,4,FALSE)*'OPEB Amounts_Report'!$D$326,0)</f>
        <v>36420</v>
      </c>
      <c r="E188" s="67">
        <f>ROUND(VLOOKUP(A188,'Contribution Allocation_Report'!$A$9:$D$314,4,FALSE)*'OPEB Amounts_Report'!$E$326,0)</f>
        <v>30378</v>
      </c>
      <c r="F188" s="67">
        <f>ROUND(VLOOKUP(A188,'Contribution Allocation_Report'!$A$9:$D$314,4,FALSE)*'OPEB Amounts_Report'!$F$326,0)</f>
        <v>635918</v>
      </c>
      <c r="G188" s="67">
        <f>INDEX('Change in Proportion Layers'!$AF$8:$AF$324,MATCH('OPEB Amounts_Report'!A188,'Change in Proportion Layers'!$A$8:$A$324,0))</f>
        <v>27435</v>
      </c>
      <c r="H188" s="67">
        <f t="shared" si="9"/>
        <v>730151</v>
      </c>
      <c r="I188" s="67"/>
      <c r="J188" s="67">
        <f>ROUND(VLOOKUP(A188,'Contribution Allocation_Report'!$A$9:$D$314,4,FALSE)*'OPEB Amounts_Report'!$J$326,0)</f>
        <v>354974</v>
      </c>
      <c r="K188" s="67">
        <f>ROUND(VLOOKUP(A188,'Contribution Allocation_Report'!$A$9:$D$314,4,FALSE)*'OPEB Amounts_Report'!$K$326,0)</f>
        <v>2155026</v>
      </c>
      <c r="L188" s="250">
        <f>INDEX('Change in Proportion Layers'!$AG$8:$AG$324,MATCH('OPEB Amounts_Report'!A188,'Change in Proportion Layers'!$A$8:$A$324,0))</f>
        <v>912718</v>
      </c>
      <c r="M188" s="67">
        <f t="shared" si="8"/>
        <v>3422718</v>
      </c>
      <c r="N188" s="68"/>
      <c r="O188" s="68">
        <f>ROUND(VLOOKUP(A188,'Contribution Allocation_Report'!$A$9:$D$314,4,FALSE)*'OPEB Amounts_Report'!$O$326,0)</f>
        <v>-691759</v>
      </c>
      <c r="P188" s="68">
        <f>INDEX('Change in Proportion Layers'!$AD$8:$AD$324,MATCH('OPEB Amounts_Report'!A188,'Change in Proportion Layers'!$A$8:$A$324,0))</f>
        <v>-270785</v>
      </c>
      <c r="Q188" s="68">
        <f t="shared" si="10"/>
        <v>-962544</v>
      </c>
    </row>
    <row r="189" spans="1:17" ht="12" customHeight="1">
      <c r="A189" s="227">
        <v>32111</v>
      </c>
      <c r="B189" s="228" t="s">
        <v>175</v>
      </c>
      <c r="C189" s="84">
        <f>ROUND(VLOOKUP(A189,'Contribution Allocation_Report'!$A$9:$D$314,4,FALSE)*'OPEB Amounts_Report'!$C$326,0)</f>
        <v>3536213</v>
      </c>
      <c r="D189" s="84">
        <f>ROUND(VLOOKUP(A189,'Contribution Allocation_Report'!$A$9:$D$314,4,FALSE)*'OPEB Amounts_Report'!$D$326,0)</f>
        <v>37898</v>
      </c>
      <c r="E189" s="84">
        <f>ROUND(VLOOKUP(A189,'Contribution Allocation_Report'!$A$9:$D$314,4,FALSE)*'OPEB Amounts_Report'!$E$326,0)</f>
        <v>31610</v>
      </c>
      <c r="F189" s="84">
        <f>ROUND(VLOOKUP(A189,'Contribution Allocation_Report'!$A$9:$D$314,4,FALSE)*'OPEB Amounts_Report'!$F$326,0)</f>
        <v>661714</v>
      </c>
      <c r="G189" s="84">
        <f>INDEX('Change in Proportion Layers'!$AF$8:$AF$324,MATCH('OPEB Amounts_Report'!A189,'Change in Proportion Layers'!$A$8:$A$324,0))</f>
        <v>99080</v>
      </c>
      <c r="H189" s="84">
        <f t="shared" si="9"/>
        <v>830302</v>
      </c>
      <c r="I189" s="84"/>
      <c r="J189" s="84">
        <f>ROUND(VLOOKUP(A189,'Contribution Allocation_Report'!$A$9:$D$314,4,FALSE)*'OPEB Amounts_Report'!$J$326,0)</f>
        <v>369373</v>
      </c>
      <c r="K189" s="84">
        <f>ROUND(VLOOKUP(A189,'Contribution Allocation_Report'!$A$9:$D$314,4,FALSE)*'OPEB Amounts_Report'!$K$326,0)</f>
        <v>2242443</v>
      </c>
      <c r="L189" s="84">
        <f>INDEX('Change in Proportion Layers'!$AG$8:$AG$324,MATCH('OPEB Amounts_Report'!A189,'Change in Proportion Layers'!$A$8:$A$324,0))</f>
        <v>374550</v>
      </c>
      <c r="M189" s="84">
        <f t="shared" si="8"/>
        <v>2986366</v>
      </c>
      <c r="N189" s="85"/>
      <c r="O189" s="85">
        <f>ROUND(VLOOKUP(A189,'Contribution Allocation_Report'!$A$9:$D$314,4,FALSE)*'OPEB Amounts_Report'!$O$326,0)</f>
        <v>-719820</v>
      </c>
      <c r="P189" s="85">
        <f>INDEX('Change in Proportion Layers'!$AD$8:$AD$324,MATCH('OPEB Amounts_Report'!A189,'Change in Proportion Layers'!$A$8:$A$324,0))</f>
        <v>-98656</v>
      </c>
      <c r="Q189" s="85">
        <f t="shared" si="10"/>
        <v>-818476</v>
      </c>
    </row>
    <row r="190" spans="1:17" ht="12" customHeight="1">
      <c r="A190" s="59">
        <v>2520</v>
      </c>
      <c r="B190" s="63" t="s">
        <v>176</v>
      </c>
      <c r="C190" s="67">
        <f>ROUND(VLOOKUP(A190,'Contribution Allocation_Report'!$A$9:$D$314,4,FALSE)*'OPEB Amounts_Report'!$C$326,0)</f>
        <v>629343</v>
      </c>
      <c r="D190" s="67">
        <f>ROUND(VLOOKUP(A190,'Contribution Allocation_Report'!$A$9:$D$314,4,FALSE)*'OPEB Amounts_Report'!$D$326,0)</f>
        <v>6745</v>
      </c>
      <c r="E190" s="67">
        <f>ROUND(VLOOKUP(A190,'Contribution Allocation_Report'!$A$9:$D$314,4,FALSE)*'OPEB Amounts_Report'!$E$326,0)</f>
        <v>5626</v>
      </c>
      <c r="F190" s="67">
        <f>ROUND(VLOOKUP(A190,'Contribution Allocation_Report'!$A$9:$D$314,4,FALSE)*'OPEB Amounts_Report'!$F$326,0)</f>
        <v>117766</v>
      </c>
      <c r="G190" s="67">
        <f>INDEX('Change in Proportion Layers'!$AF$8:$AF$324,MATCH('OPEB Amounts_Report'!A190,'Change in Proportion Layers'!$A$8:$A$324,0))</f>
        <v>246309</v>
      </c>
      <c r="H190" s="67">
        <f t="shared" si="9"/>
        <v>376446</v>
      </c>
      <c r="I190" s="67"/>
      <c r="J190" s="67">
        <f>ROUND(VLOOKUP(A190,'Contribution Allocation_Report'!$A$9:$D$314,4,FALSE)*'OPEB Amounts_Report'!$J$326,0)</f>
        <v>65738</v>
      </c>
      <c r="K190" s="67">
        <f>ROUND(VLOOKUP(A190,'Contribution Allocation_Report'!$A$9:$D$314,4,FALSE)*'OPEB Amounts_Report'!$K$326,0)</f>
        <v>399090</v>
      </c>
      <c r="L190" s="67">
        <f>INDEX('Change in Proportion Layers'!$AG$8:$AG$324,MATCH('OPEB Amounts_Report'!A190,'Change in Proportion Layers'!$A$8:$A$324,0))</f>
        <v>23132</v>
      </c>
      <c r="M190" s="67">
        <f t="shared" si="8"/>
        <v>487960</v>
      </c>
      <c r="N190" s="68"/>
      <c r="O190" s="68">
        <f>ROUND(VLOOKUP(A190,'Contribution Allocation_Report'!$A$9:$D$314,4,FALSE)*'OPEB Amounts_Report'!$O$326,0)</f>
        <v>-128107</v>
      </c>
      <c r="P190" s="68">
        <f>INDEX('Change in Proportion Layers'!$AD$8:$AD$324,MATCH('OPEB Amounts_Report'!A190,'Change in Proportion Layers'!$A$8:$A$324,0))</f>
        <v>11747</v>
      </c>
      <c r="Q190" s="68">
        <f t="shared" si="10"/>
        <v>-116360</v>
      </c>
    </row>
    <row r="191" spans="1:17" ht="12" customHeight="1">
      <c r="A191" s="227">
        <v>3450</v>
      </c>
      <c r="B191" s="228" t="s">
        <v>177</v>
      </c>
      <c r="C191" s="84">
        <f>ROUND(VLOOKUP(A191,'Contribution Allocation_Report'!$A$9:$D$314,4,FALSE)*'OPEB Amounts_Report'!$C$326,0)</f>
        <v>1101522</v>
      </c>
      <c r="D191" s="84">
        <f>ROUND(VLOOKUP(A191,'Contribution Allocation_Report'!$A$9:$D$314,4,FALSE)*'OPEB Amounts_Report'!$D$326,0)</f>
        <v>11805</v>
      </c>
      <c r="E191" s="84">
        <f>ROUND(VLOOKUP(A191,'Contribution Allocation_Report'!$A$9:$D$314,4,FALSE)*'OPEB Amounts_Report'!$E$326,0)</f>
        <v>9847</v>
      </c>
      <c r="F191" s="84">
        <f>ROUND(VLOOKUP(A191,'Contribution Allocation_Report'!$A$9:$D$314,4,FALSE)*'OPEB Amounts_Report'!$F$326,0)</f>
        <v>206122</v>
      </c>
      <c r="G191" s="84">
        <f>INDEX('Change in Proportion Layers'!$AF$8:$AF$324,MATCH('OPEB Amounts_Report'!A191,'Change in Proportion Layers'!$A$8:$A$324,0))</f>
        <v>168221</v>
      </c>
      <c r="H191" s="84">
        <f t="shared" si="9"/>
        <v>395995</v>
      </c>
      <c r="I191" s="84"/>
      <c r="J191" s="84">
        <f>ROUND(VLOOKUP(A191,'Contribution Allocation_Report'!$A$9:$D$314,4,FALSE)*'OPEB Amounts_Report'!$J$326,0)</f>
        <v>115059</v>
      </c>
      <c r="K191" s="84">
        <f>ROUND(VLOOKUP(A191,'Contribution Allocation_Report'!$A$9:$D$314,4,FALSE)*'OPEB Amounts_Report'!$K$326,0)</f>
        <v>698516</v>
      </c>
      <c r="L191" s="251">
        <f>INDEX('Change in Proportion Layers'!$AG$8:$AG$324,MATCH('OPEB Amounts_Report'!A191,'Change in Proportion Layers'!$A$8:$A$324,0))</f>
        <v>40615</v>
      </c>
      <c r="M191" s="84">
        <f t="shared" si="8"/>
        <v>854190</v>
      </c>
      <c r="N191" s="85"/>
      <c r="O191" s="85">
        <f>ROUND(VLOOKUP(A191,'Contribution Allocation_Report'!$A$9:$D$314,4,FALSE)*'OPEB Amounts_Report'!$O$326,0)</f>
        <v>-224222</v>
      </c>
      <c r="P191" s="85">
        <f>INDEX('Change in Proportion Layers'!$AD$8:$AD$324,MATCH('OPEB Amounts_Report'!A191,'Change in Proportion Layers'!$A$8:$A$324,0))</f>
        <v>10836</v>
      </c>
      <c r="Q191" s="85">
        <f t="shared" si="10"/>
        <v>-213386</v>
      </c>
    </row>
    <row r="192" spans="1:17" ht="12" customHeight="1">
      <c r="A192" s="59">
        <v>4310</v>
      </c>
      <c r="B192" s="63" t="s">
        <v>178</v>
      </c>
      <c r="C192" s="67">
        <f>ROUND(VLOOKUP(A192,'Contribution Allocation_Report'!$A$9:$D$314,4,FALSE)*'OPEB Amounts_Report'!$C$326,0)</f>
        <v>525459</v>
      </c>
      <c r="D192" s="67">
        <f>ROUND(VLOOKUP(A192,'Contribution Allocation_Report'!$A$9:$D$314,4,FALSE)*'OPEB Amounts_Report'!$D$326,0)</f>
        <v>5631</v>
      </c>
      <c r="E192" s="67">
        <f>ROUND(VLOOKUP(A192,'Contribution Allocation_Report'!$A$9:$D$314,4,FALSE)*'OPEB Amounts_Report'!$E$326,0)</f>
        <v>4697</v>
      </c>
      <c r="F192" s="67">
        <f>ROUND(VLOOKUP(A192,'Contribution Allocation_Report'!$A$9:$D$314,4,FALSE)*'OPEB Amounts_Report'!$F$326,0)</f>
        <v>98327</v>
      </c>
      <c r="G192" s="250">
        <f>INDEX('Change in Proportion Layers'!$AF$8:$AF$324,MATCH('OPEB Amounts_Report'!A192,'Change in Proportion Layers'!$A$8:$A$324,0))</f>
        <v>123579</v>
      </c>
      <c r="H192" s="67">
        <f t="shared" si="9"/>
        <v>232234</v>
      </c>
      <c r="I192" s="67"/>
      <c r="J192" s="67">
        <f>ROUND(VLOOKUP(A192,'Contribution Allocation_Report'!$A$9:$D$314,4,FALSE)*'OPEB Amounts_Report'!$J$326,0)</f>
        <v>54887</v>
      </c>
      <c r="K192" s="67">
        <f>ROUND(VLOOKUP(A192,'Contribution Allocation_Report'!$A$9:$D$314,4,FALSE)*'OPEB Amounts_Report'!$K$326,0)</f>
        <v>333213</v>
      </c>
      <c r="L192" s="250">
        <f>INDEX('Change in Proportion Layers'!$AG$8:$AG$324,MATCH('OPEB Amounts_Report'!A192,'Change in Proportion Layers'!$A$8:$A$324,0))</f>
        <v>218437</v>
      </c>
      <c r="M192" s="67">
        <f t="shared" si="8"/>
        <v>606537</v>
      </c>
      <c r="N192" s="68"/>
      <c r="O192" s="68">
        <f>ROUND(VLOOKUP(A192,'Contribution Allocation_Report'!$A$9:$D$314,4,FALSE)*'OPEB Amounts_Report'!$O$326,0)</f>
        <v>-106961</v>
      </c>
      <c r="P192" s="68">
        <f>INDEX('Change in Proportion Layers'!$AD$8:$AD$324,MATCH('OPEB Amounts_Report'!A192,'Change in Proportion Layers'!$A$8:$A$324,0))</f>
        <v>-28666</v>
      </c>
      <c r="Q192" s="68">
        <f t="shared" si="10"/>
        <v>-135627</v>
      </c>
    </row>
    <row r="193" spans="1:17" ht="12" customHeight="1">
      <c r="A193" s="227">
        <v>2328</v>
      </c>
      <c r="B193" s="228" t="s">
        <v>179</v>
      </c>
      <c r="C193" s="84">
        <f>ROUND(VLOOKUP(A193,'Contribution Allocation_Report'!$A$9:$D$314,4,FALSE)*'OPEB Amounts_Report'!$C$326,0)</f>
        <v>770686</v>
      </c>
      <c r="D193" s="84">
        <f>ROUND(VLOOKUP(A193,'Contribution Allocation_Report'!$A$9:$D$314,4,FALSE)*'OPEB Amounts_Report'!$D$326,0)</f>
        <v>8259</v>
      </c>
      <c r="E193" s="84">
        <f>ROUND(VLOOKUP(A193,'Contribution Allocation_Report'!$A$9:$D$314,4,FALSE)*'OPEB Amounts_Report'!$E$326,0)</f>
        <v>6889</v>
      </c>
      <c r="F193" s="84">
        <f>ROUND(VLOOKUP(A193,'Contribution Allocation_Report'!$A$9:$D$314,4,FALSE)*'OPEB Amounts_Report'!$F$326,0)</f>
        <v>144215</v>
      </c>
      <c r="G193" s="84">
        <f>INDEX('Change in Proportion Layers'!$AF$8:$AF$324,MATCH('OPEB Amounts_Report'!A193,'Change in Proportion Layers'!$A$8:$A$324,0))</f>
        <v>89446</v>
      </c>
      <c r="H193" s="84">
        <f t="shared" si="9"/>
        <v>248809</v>
      </c>
      <c r="I193" s="84"/>
      <c r="J193" s="84">
        <f>ROUND(VLOOKUP(A193,'Contribution Allocation_Report'!$A$9:$D$314,4,FALSE)*'OPEB Amounts_Report'!$J$326,0)</f>
        <v>80501</v>
      </c>
      <c r="K193" s="84">
        <f>ROUND(VLOOKUP(A193,'Contribution Allocation_Report'!$A$9:$D$314,4,FALSE)*'OPEB Amounts_Report'!$K$326,0)</f>
        <v>488720</v>
      </c>
      <c r="L193" s="84">
        <f>INDEX('Change in Proportion Layers'!$AG$8:$AG$324,MATCH('OPEB Amounts_Report'!A193,'Change in Proportion Layers'!$A$8:$A$324,0))</f>
        <v>321249</v>
      </c>
      <c r="M193" s="84">
        <f t="shared" si="8"/>
        <v>890470</v>
      </c>
      <c r="N193" s="85"/>
      <c r="O193" s="85">
        <f>ROUND(VLOOKUP(A193,'Contribution Allocation_Report'!$A$9:$D$314,4,FALSE)*'OPEB Amounts_Report'!$O$326,0)</f>
        <v>-156878</v>
      </c>
      <c r="P193" s="85">
        <f>INDEX('Change in Proportion Layers'!$AD$8:$AD$324,MATCH('OPEB Amounts_Report'!A193,'Change in Proportion Layers'!$A$8:$A$324,0))</f>
        <v>8335</v>
      </c>
      <c r="Q193" s="85">
        <f t="shared" si="10"/>
        <v>-148543</v>
      </c>
    </row>
    <row r="194" spans="1:17" ht="12" customHeight="1">
      <c r="A194" s="59">
        <v>12151</v>
      </c>
      <c r="B194" s="63" t="s">
        <v>180</v>
      </c>
      <c r="C194" s="67">
        <f>ROUND(VLOOKUP(A194,'Contribution Allocation_Report'!$A$9:$D$314,4,FALSE)*'OPEB Amounts_Report'!$C$326,0)</f>
        <v>360868</v>
      </c>
      <c r="D194" s="67">
        <f>ROUND(VLOOKUP(A194,'Contribution Allocation_Report'!$A$9:$D$314,4,FALSE)*'OPEB Amounts_Report'!$D$326,0)</f>
        <v>3867</v>
      </c>
      <c r="E194" s="67">
        <f>ROUND(VLOOKUP(A194,'Contribution Allocation_Report'!$A$9:$D$314,4,FALSE)*'OPEB Amounts_Report'!$E$326,0)</f>
        <v>3226</v>
      </c>
      <c r="F194" s="67">
        <f>ROUND(VLOOKUP(A194,'Contribution Allocation_Report'!$A$9:$D$314,4,FALSE)*'OPEB Amounts_Report'!$F$326,0)</f>
        <v>67527</v>
      </c>
      <c r="G194" s="67">
        <f>INDEX('Change in Proportion Layers'!$AF$8:$AF$324,MATCH('OPEB Amounts_Report'!A194,'Change in Proportion Layers'!$A$8:$A$324,0))</f>
        <v>122720</v>
      </c>
      <c r="H194" s="67">
        <f t="shared" si="9"/>
        <v>197340</v>
      </c>
      <c r="I194" s="67"/>
      <c r="J194" s="67">
        <f>ROUND(VLOOKUP(A194,'Contribution Allocation_Report'!$A$9:$D$314,4,FALSE)*'OPEB Amounts_Report'!$J$326,0)</f>
        <v>37694</v>
      </c>
      <c r="K194" s="67">
        <f>ROUND(VLOOKUP(A194,'Contribution Allocation_Report'!$A$9:$D$314,4,FALSE)*'OPEB Amounts_Report'!$K$326,0)</f>
        <v>228840</v>
      </c>
      <c r="L194" s="67">
        <f>INDEX('Change in Proportion Layers'!$AG$8:$AG$324,MATCH('OPEB Amounts_Report'!A194,'Change in Proportion Layers'!$A$8:$A$324,0))</f>
        <v>60816</v>
      </c>
      <c r="M194" s="67">
        <f t="shared" si="8"/>
        <v>327350</v>
      </c>
      <c r="N194" s="68"/>
      <c r="O194" s="68">
        <f>ROUND(VLOOKUP(A194,'Contribution Allocation_Report'!$A$9:$D$314,4,FALSE)*'OPEB Amounts_Report'!$O$326,0)</f>
        <v>-73457</v>
      </c>
      <c r="P194" s="68">
        <f>INDEX('Change in Proportion Layers'!$AD$8:$AD$324,MATCH('OPEB Amounts_Report'!A194,'Change in Proportion Layers'!$A$8:$A$324,0))</f>
        <v>-44436</v>
      </c>
      <c r="Q194" s="68">
        <f t="shared" si="10"/>
        <v>-117893</v>
      </c>
    </row>
    <row r="195" spans="1:17" ht="12" customHeight="1">
      <c r="A195" s="227">
        <v>32110</v>
      </c>
      <c r="B195" s="228" t="s">
        <v>181</v>
      </c>
      <c r="C195" s="84">
        <f>ROUND(VLOOKUP(A195,'Contribution Allocation_Report'!$A$9:$D$314,4,FALSE)*'OPEB Amounts_Report'!$C$326,0)</f>
        <v>3644623</v>
      </c>
      <c r="D195" s="84">
        <f>ROUND(VLOOKUP(A195,'Contribution Allocation_Report'!$A$9:$D$314,4,FALSE)*'OPEB Amounts_Report'!$D$326,0)</f>
        <v>39060</v>
      </c>
      <c r="E195" s="84">
        <f>ROUND(VLOOKUP(A195,'Contribution Allocation_Report'!$A$9:$D$314,4,FALSE)*'OPEB Amounts_Report'!$E$326,0)</f>
        <v>32579</v>
      </c>
      <c r="F195" s="84">
        <f>ROUND(VLOOKUP(A195,'Contribution Allocation_Report'!$A$9:$D$314,4,FALSE)*'OPEB Amounts_Report'!$F$326,0)</f>
        <v>682000</v>
      </c>
      <c r="G195" s="84">
        <f>INDEX('Change in Proportion Layers'!$AF$8:$AF$324,MATCH('OPEB Amounts_Report'!A195,'Change in Proportion Layers'!$A$8:$A$324,0))</f>
        <v>541888</v>
      </c>
      <c r="H195" s="84">
        <f t="shared" si="9"/>
        <v>1295527</v>
      </c>
      <c r="I195" s="84"/>
      <c r="J195" s="84">
        <f>ROUND(VLOOKUP(A195,'Contribution Allocation_Report'!$A$9:$D$314,4,FALSE)*'OPEB Amounts_Report'!$J$326,0)</f>
        <v>380697</v>
      </c>
      <c r="K195" s="84">
        <f>ROUND(VLOOKUP(A195,'Contribution Allocation_Report'!$A$9:$D$314,4,FALSE)*'OPEB Amounts_Report'!$K$326,0)</f>
        <v>2311190</v>
      </c>
      <c r="L195" s="84">
        <f>INDEX('Change in Proportion Layers'!$AG$8:$AG$324,MATCH('OPEB Amounts_Report'!A195,'Change in Proportion Layers'!$A$8:$A$324,0))</f>
        <v>170170</v>
      </c>
      <c r="M195" s="84">
        <f t="shared" si="8"/>
        <v>2862057</v>
      </c>
      <c r="N195" s="85"/>
      <c r="O195" s="85">
        <f>ROUND(VLOOKUP(A195,'Contribution Allocation_Report'!$A$9:$D$314,4,FALSE)*'OPEB Amounts_Report'!$O$326,0)</f>
        <v>-741887</v>
      </c>
      <c r="P195" s="85">
        <f>INDEX('Change in Proportion Layers'!$AD$8:$AD$324,MATCH('OPEB Amounts_Report'!A195,'Change in Proportion Layers'!$A$8:$A$324,0))</f>
        <v>181779</v>
      </c>
      <c r="Q195" s="85">
        <f t="shared" si="10"/>
        <v>-560108</v>
      </c>
    </row>
    <row r="196" spans="1:17" s="190" customFormat="1" ht="12" customHeight="1">
      <c r="A196" s="59">
        <v>4215</v>
      </c>
      <c r="B196" s="63" t="s">
        <v>182</v>
      </c>
      <c r="C196" s="67">
        <f>ROUND(VLOOKUP(A196,'Contribution Allocation_Report'!$A$9:$D$314,4,FALSE)*'OPEB Amounts_Report'!$C$326,0)</f>
        <v>500389</v>
      </c>
      <c r="D196" s="67">
        <f>ROUND(VLOOKUP(A196,'Contribution Allocation_Report'!$A$9:$D$314,4,FALSE)*'OPEB Amounts_Report'!$D$326,0)</f>
        <v>5363</v>
      </c>
      <c r="E196" s="67">
        <f>ROUND(VLOOKUP(A196,'Contribution Allocation_Report'!$A$9:$D$314,4,FALSE)*'OPEB Amounts_Report'!$E$326,0)</f>
        <v>4473</v>
      </c>
      <c r="F196" s="67">
        <f>ROUND(VLOOKUP(A196,'Contribution Allocation_Report'!$A$9:$D$314,4,FALSE)*'OPEB Amounts_Report'!$F$326,0)</f>
        <v>93635</v>
      </c>
      <c r="G196" s="67">
        <f>INDEX('Change in Proportion Layers'!$AF$8:$AF$324,MATCH('OPEB Amounts_Report'!A196,'Change in Proportion Layers'!$A$8:$A$324,0))</f>
        <v>780389</v>
      </c>
      <c r="H196" s="67">
        <f t="shared" ref="H196" si="11">SUM(D196:G196)</f>
        <v>883860</v>
      </c>
      <c r="I196" s="67"/>
      <c r="J196" s="67">
        <f>ROUND(VLOOKUP(A196,'Contribution Allocation_Report'!$A$9:$D$314,4,FALSE)*'OPEB Amounts_Report'!$J$326,0)</f>
        <v>52268</v>
      </c>
      <c r="K196" s="67">
        <f>ROUND(VLOOKUP(A196,'Contribution Allocation_Report'!$A$9:$D$314,4,FALSE)*'OPEB Amounts_Report'!$K$326,0)</f>
        <v>317315</v>
      </c>
      <c r="L196" s="67">
        <f>INDEX('Change in Proportion Layers'!$AG$8:$AG$324,MATCH('OPEB Amounts_Report'!A196,'Change in Proportion Layers'!$A$8:$A$324,0))</f>
        <v>232418</v>
      </c>
      <c r="M196" s="67">
        <f t="shared" ref="M196" si="12">SUM(J196:L196)</f>
        <v>602001</v>
      </c>
      <c r="N196" s="68"/>
      <c r="O196" s="68">
        <f>ROUND(VLOOKUP(A196,'Contribution Allocation_Report'!$A$9:$D$314,4,FALSE)*'OPEB Amounts_Report'!$O$326,0)</f>
        <v>-101857</v>
      </c>
      <c r="P196" s="68">
        <f>INDEX('Change in Proportion Layers'!$AD$8:$AD$324,MATCH('OPEB Amounts_Report'!A196,'Change in Proportion Layers'!$A$8:$A$324,0))</f>
        <v>90162</v>
      </c>
      <c r="Q196" s="68">
        <f t="shared" si="10"/>
        <v>-11695</v>
      </c>
    </row>
    <row r="197" spans="1:17" ht="12" customHeight="1">
      <c r="A197" s="227">
        <v>2870</v>
      </c>
      <c r="B197" s="228" t="s">
        <v>183</v>
      </c>
      <c r="C197" s="84">
        <f>ROUND(VLOOKUP(A197,'Contribution Allocation_Report'!$A$9:$D$314,4,FALSE)*'OPEB Amounts_Report'!$C$326,0)</f>
        <v>582481</v>
      </c>
      <c r="D197" s="84">
        <f>ROUND(VLOOKUP(A197,'Contribution Allocation_Report'!$A$9:$D$314,4,FALSE)*'OPEB Amounts_Report'!$D$326,0)</f>
        <v>6242</v>
      </c>
      <c r="E197" s="84">
        <f>ROUND(VLOOKUP(A197,'Contribution Allocation_Report'!$A$9:$D$314,4,FALSE)*'OPEB Amounts_Report'!$E$326,0)</f>
        <v>5207</v>
      </c>
      <c r="F197" s="84">
        <f>ROUND(VLOOKUP(A197,'Contribution Allocation_Report'!$A$9:$D$314,4,FALSE)*'OPEB Amounts_Report'!$F$326,0)</f>
        <v>108997</v>
      </c>
      <c r="G197" s="84">
        <f>INDEX('Change in Proportion Layers'!$AF$8:$AF$324,MATCH('OPEB Amounts_Report'!A197,'Change in Proportion Layers'!$A$8:$A$324,0))</f>
        <v>43950</v>
      </c>
      <c r="H197" s="84">
        <f t="shared" si="9"/>
        <v>164396</v>
      </c>
      <c r="I197" s="84"/>
      <c r="J197" s="84">
        <f>ROUND(VLOOKUP(A197,'Contribution Allocation_Report'!$A$9:$D$314,4,FALSE)*'OPEB Amounts_Report'!$J$326,0)</f>
        <v>60843</v>
      </c>
      <c r="K197" s="84">
        <f>ROUND(VLOOKUP(A197,'Contribution Allocation_Report'!$A$9:$D$314,4,FALSE)*'OPEB Amounts_Report'!$K$326,0)</f>
        <v>369373</v>
      </c>
      <c r="L197" s="251">
        <f>INDEX('Change in Proportion Layers'!$AG$8:$AG$324,MATCH('OPEB Amounts_Report'!A197,'Change in Proportion Layers'!$A$8:$A$324,0))</f>
        <v>54397</v>
      </c>
      <c r="M197" s="84">
        <f t="shared" si="8"/>
        <v>484613</v>
      </c>
      <c r="N197" s="85"/>
      <c r="O197" s="85">
        <f>ROUND(VLOOKUP(A197,'Contribution Allocation_Report'!$A$9:$D$314,4,FALSE)*'OPEB Amounts_Report'!$O$326,0)</f>
        <v>-118568</v>
      </c>
      <c r="P197" s="85">
        <f>INDEX('Change in Proportion Layers'!$AD$8:$AD$324,MATCH('OPEB Amounts_Report'!A197,'Change in Proportion Layers'!$A$8:$A$324,0))</f>
        <v>-7319</v>
      </c>
      <c r="Q197" s="85">
        <f t="shared" si="10"/>
        <v>-125887</v>
      </c>
    </row>
    <row r="198" spans="1:17" ht="12" customHeight="1">
      <c r="A198" s="59">
        <v>29150</v>
      </c>
      <c r="B198" s="63" t="s">
        <v>184</v>
      </c>
      <c r="C198" s="67">
        <f>ROUND(VLOOKUP(A198,'Contribution Allocation_Report'!$A$9:$D$314,4,FALSE)*'OPEB Amounts_Report'!$C$326,0)</f>
        <v>113511</v>
      </c>
      <c r="D198" s="67">
        <f>ROUND(VLOOKUP(A198,'Contribution Allocation_Report'!$A$9:$D$314,4,FALSE)*'OPEB Amounts_Report'!$D$326,0)</f>
        <v>1217</v>
      </c>
      <c r="E198" s="67">
        <f>ROUND(VLOOKUP(A198,'Contribution Allocation_Report'!$A$9:$D$314,4,FALSE)*'OPEB Amounts_Report'!$E$326,0)</f>
        <v>1015</v>
      </c>
      <c r="F198" s="67">
        <f>ROUND(VLOOKUP(A198,'Contribution Allocation_Report'!$A$9:$D$314,4,FALSE)*'OPEB Amounts_Report'!$F$326,0)</f>
        <v>21241</v>
      </c>
      <c r="G198" s="67">
        <f>INDEX('Change in Proportion Layers'!$AF$8:$AF$324,MATCH('OPEB Amounts_Report'!A198,'Change in Proportion Layers'!$A$8:$A$324,0))</f>
        <v>608</v>
      </c>
      <c r="H198" s="67">
        <f t="shared" si="9"/>
        <v>24081</v>
      </c>
      <c r="I198" s="67"/>
      <c r="J198" s="67">
        <f>ROUND(VLOOKUP(A198,'Contribution Allocation_Report'!$A$9:$D$314,4,FALSE)*'OPEB Amounts_Report'!$J$326,0)</f>
        <v>11857</v>
      </c>
      <c r="K198" s="67">
        <f>ROUND(VLOOKUP(A198,'Contribution Allocation_Report'!$A$9:$D$314,4,FALSE)*'OPEB Amounts_Report'!$K$326,0)</f>
        <v>71982</v>
      </c>
      <c r="L198" s="250">
        <f>INDEX('Change in Proportion Layers'!$AG$8:$AG$324,MATCH('OPEB Amounts_Report'!A198,'Change in Proportion Layers'!$A$8:$A$324,0))</f>
        <v>118053</v>
      </c>
      <c r="M198" s="67">
        <f t="shared" si="8"/>
        <v>201892</v>
      </c>
      <c r="N198" s="68"/>
      <c r="O198" s="68">
        <f>ROUND(VLOOKUP(A198,'Contribution Allocation_Report'!$A$9:$D$314,4,FALSE)*'OPEB Amounts_Report'!$O$326,0)</f>
        <v>-23106</v>
      </c>
      <c r="P198" s="68">
        <f>INDEX('Change in Proportion Layers'!$AD$8:$AD$324,MATCH('OPEB Amounts_Report'!A198,'Change in Proportion Layers'!$A$8:$A$324,0))</f>
        <v>-43522</v>
      </c>
      <c r="Q198" s="68">
        <f t="shared" si="10"/>
        <v>-66628</v>
      </c>
    </row>
    <row r="199" spans="1:17" ht="12" customHeight="1">
      <c r="A199" s="227">
        <v>32118</v>
      </c>
      <c r="B199" s="228" t="s">
        <v>186</v>
      </c>
      <c r="C199" s="84">
        <f>ROUND(VLOOKUP(A199,'Contribution Allocation_Report'!$A$9:$D$314,4,FALSE)*'OPEB Amounts_Report'!$C$326,0)</f>
        <v>2305442</v>
      </c>
      <c r="D199" s="84">
        <f>ROUND(VLOOKUP(A199,'Contribution Allocation_Report'!$A$9:$D$314,4,FALSE)*'OPEB Amounts_Report'!$D$326,0)</f>
        <v>24708</v>
      </c>
      <c r="E199" s="84">
        <f>ROUND(VLOOKUP(A199,'Contribution Allocation_Report'!$A$9:$D$314,4,FALSE)*'OPEB Amounts_Report'!$E$326,0)</f>
        <v>20608</v>
      </c>
      <c r="F199" s="84">
        <f>ROUND(VLOOKUP(A199,'Contribution Allocation_Report'!$A$9:$D$314,4,FALSE)*'OPEB Amounts_Report'!$F$326,0)</f>
        <v>431406</v>
      </c>
      <c r="G199" s="84">
        <f>INDEX('Change in Proportion Layers'!$AF$8:$AF$324,MATCH('OPEB Amounts_Report'!A199,'Change in Proportion Layers'!$A$8:$A$324,0))</f>
        <v>1683914</v>
      </c>
      <c r="H199" s="84">
        <f t="shared" si="9"/>
        <v>2160636</v>
      </c>
      <c r="I199" s="84"/>
      <c r="J199" s="84">
        <f>ROUND(VLOOKUP(A199,'Contribution Allocation_Report'!$A$9:$D$314,4,FALSE)*'OPEB Amounts_Report'!$J$326,0)</f>
        <v>240814</v>
      </c>
      <c r="K199" s="84">
        <f>ROUND(VLOOKUP(A199,'Contribution Allocation_Report'!$A$9:$D$314,4,FALSE)*'OPEB Amounts_Report'!$K$326,0)</f>
        <v>1461966</v>
      </c>
      <c r="L199" s="251">
        <f>INDEX('Change in Proportion Layers'!$AG$8:$AG$324,MATCH('OPEB Amounts_Report'!A199,'Change in Proportion Layers'!$A$8:$A$324,0))</f>
        <v>0</v>
      </c>
      <c r="M199" s="84">
        <f t="shared" si="8"/>
        <v>1702780</v>
      </c>
      <c r="N199" s="85"/>
      <c r="O199" s="85">
        <f>ROUND(VLOOKUP(A199,'Contribution Allocation_Report'!$A$9:$D$314,4,FALSE)*'OPEB Amounts_Report'!$O$326,0)</f>
        <v>-469288</v>
      </c>
      <c r="P199" s="85">
        <f>INDEX('Change in Proportion Layers'!$AD$8:$AD$324,MATCH('OPEB Amounts_Report'!A199,'Change in Proportion Layers'!$A$8:$A$324,0))</f>
        <v>783116</v>
      </c>
      <c r="Q199" s="85">
        <f t="shared" si="10"/>
        <v>313828</v>
      </c>
    </row>
    <row r="200" spans="1:17" ht="12" customHeight="1">
      <c r="A200" s="59">
        <v>12039</v>
      </c>
      <c r="B200" s="63" t="s">
        <v>187</v>
      </c>
      <c r="C200" s="67">
        <f>ROUND(VLOOKUP(A200,'Contribution Allocation_Report'!$A$9:$D$314,4,FALSE)*'OPEB Amounts_Report'!$C$326,0)</f>
        <v>1432961</v>
      </c>
      <c r="D200" s="67">
        <f>ROUND(VLOOKUP(A200,'Contribution Allocation_Report'!$A$9:$D$314,4,FALSE)*'OPEB Amounts_Report'!$D$326,0)</f>
        <v>15357</v>
      </c>
      <c r="E200" s="67">
        <f>ROUND(VLOOKUP(A200,'Contribution Allocation_Report'!$A$9:$D$314,4,FALSE)*'OPEB Amounts_Report'!$E$326,0)</f>
        <v>12809</v>
      </c>
      <c r="F200" s="67">
        <f>ROUND(VLOOKUP(A200,'Contribution Allocation_Report'!$A$9:$D$314,4,FALSE)*'OPEB Amounts_Report'!$F$326,0)</f>
        <v>268143</v>
      </c>
      <c r="G200" s="67">
        <f>INDEX('Change in Proportion Layers'!$AF$8:$AF$324,MATCH('OPEB Amounts_Report'!A200,'Change in Proportion Layers'!$A$8:$A$324,0))</f>
        <v>21481</v>
      </c>
      <c r="H200" s="67">
        <f t="shared" si="9"/>
        <v>317790</v>
      </c>
      <c r="I200" s="67"/>
      <c r="J200" s="67">
        <f>ROUND(VLOOKUP(A200,'Contribution Allocation_Report'!$A$9:$D$314,4,FALSE)*'OPEB Amounts_Report'!$J$326,0)</f>
        <v>149679</v>
      </c>
      <c r="K200" s="67">
        <f>ROUND(VLOOKUP(A200,'Contribution Allocation_Report'!$A$9:$D$314,4,FALSE)*'OPEB Amounts_Report'!$K$326,0)</f>
        <v>908694</v>
      </c>
      <c r="L200" s="250">
        <f>INDEX('Change in Proportion Layers'!$AG$8:$AG$324,MATCH('OPEB Amounts_Report'!A200,'Change in Proportion Layers'!$A$8:$A$324,0))</f>
        <v>345159</v>
      </c>
      <c r="M200" s="67">
        <f t="shared" si="8"/>
        <v>1403532</v>
      </c>
      <c r="N200" s="68"/>
      <c r="O200" s="68">
        <f>ROUND(VLOOKUP(A200,'Contribution Allocation_Report'!$A$9:$D$314,4,FALSE)*'OPEB Amounts_Report'!$O$326,0)</f>
        <v>-291689</v>
      </c>
      <c r="P200" s="68">
        <f>INDEX('Change in Proportion Layers'!$AD$8:$AD$324,MATCH('OPEB Amounts_Report'!A200,'Change in Proportion Layers'!$A$8:$A$324,0))</f>
        <v>-131723</v>
      </c>
      <c r="Q200" s="68">
        <f t="shared" si="10"/>
        <v>-423412</v>
      </c>
    </row>
    <row r="201" spans="1:17" ht="12" customHeight="1">
      <c r="A201" s="227">
        <v>12150</v>
      </c>
      <c r="B201" s="228" t="s">
        <v>188</v>
      </c>
      <c r="C201" s="84">
        <f>ROUND(VLOOKUP(A201,'Contribution Allocation_Report'!$A$9:$D$314,4,FALSE)*'OPEB Amounts_Report'!$C$326,0)</f>
        <v>259394</v>
      </c>
      <c r="D201" s="84">
        <f>ROUND(VLOOKUP(A201,'Contribution Allocation_Report'!$A$9:$D$314,4,FALSE)*'OPEB Amounts_Report'!$D$326,0)</f>
        <v>2780</v>
      </c>
      <c r="E201" s="84">
        <f>ROUND(VLOOKUP(A201,'Contribution Allocation_Report'!$A$9:$D$314,4,FALSE)*'OPEB Amounts_Report'!$E$326,0)</f>
        <v>2319</v>
      </c>
      <c r="F201" s="84">
        <f>ROUND(VLOOKUP(A201,'Contribution Allocation_Report'!$A$9:$D$314,4,FALSE)*'OPEB Amounts_Report'!$F$326,0)</f>
        <v>48539</v>
      </c>
      <c r="G201" s="84">
        <f>INDEX('Change in Proportion Layers'!$AF$8:$AF$324,MATCH('OPEB Amounts_Report'!A201,'Change in Proportion Layers'!$A$8:$A$324,0))</f>
        <v>26488</v>
      </c>
      <c r="H201" s="84">
        <f t="shared" si="9"/>
        <v>80126</v>
      </c>
      <c r="I201" s="84"/>
      <c r="J201" s="84">
        <f>ROUND(VLOOKUP(A201,'Contribution Allocation_Report'!$A$9:$D$314,4,FALSE)*'OPEB Amounts_Report'!$J$326,0)</f>
        <v>27095</v>
      </c>
      <c r="K201" s="84">
        <f>ROUND(VLOOKUP(A201,'Contribution Allocation_Report'!$A$9:$D$314,4,FALSE)*'OPEB Amounts_Report'!$K$326,0)</f>
        <v>164492</v>
      </c>
      <c r="L201" s="251">
        <f>INDEX('Change in Proportion Layers'!$AG$8:$AG$324,MATCH('OPEB Amounts_Report'!A201,'Change in Proportion Layers'!$A$8:$A$324,0))</f>
        <v>110629</v>
      </c>
      <c r="M201" s="84">
        <f t="shared" si="8"/>
        <v>302216</v>
      </c>
      <c r="N201" s="85"/>
      <c r="O201" s="85">
        <f>ROUND(VLOOKUP(A201,'Contribution Allocation_Report'!$A$9:$D$314,4,FALSE)*'OPEB Amounts_Report'!$O$326,0)</f>
        <v>-52801</v>
      </c>
      <c r="P201" s="85">
        <f>INDEX('Change in Proportion Layers'!$AD$8:$AD$324,MATCH('OPEB Amounts_Report'!A201,'Change in Proportion Layers'!$A$8:$A$324,0))</f>
        <v>-9359</v>
      </c>
      <c r="Q201" s="85">
        <f t="shared" si="10"/>
        <v>-62160</v>
      </c>
    </row>
    <row r="202" spans="1:17" ht="12" customHeight="1">
      <c r="A202" s="59">
        <v>20060</v>
      </c>
      <c r="B202" s="60" t="s">
        <v>189</v>
      </c>
      <c r="C202" s="154">
        <f>ROUND(VLOOKUP(A202,'Contribution Allocation_Report'!$A$9:$D$314,4,FALSE)*'OPEB Amounts_Report'!$C$326,0)</f>
        <v>1065619</v>
      </c>
      <c r="D202" s="154">
        <f>ROUND(VLOOKUP(A202,'Contribution Allocation_Report'!$A$9:$D$314,4,FALSE)*'OPEB Amounts_Report'!$D$326,0)</f>
        <v>11420</v>
      </c>
      <c r="E202" s="154">
        <f>ROUND(VLOOKUP(A202,'Contribution Allocation_Report'!$A$9:$D$314,4,FALSE)*'OPEB Amounts_Report'!$E$326,0)</f>
        <v>9526</v>
      </c>
      <c r="F202" s="154">
        <f>ROUND(VLOOKUP(A202,'Contribution Allocation_Report'!$A$9:$D$314,4,FALSE)*'OPEB Amounts_Report'!$F$326,0)</f>
        <v>199404</v>
      </c>
      <c r="G202" s="154">
        <f>INDEX('Change in Proportion Layers'!$AF$8:$AF$324,MATCH('OPEB Amounts_Report'!A202,'Change in Proportion Layers'!$A$8:$A$324,0))</f>
        <v>90376</v>
      </c>
      <c r="H202" s="154">
        <f t="shared" si="9"/>
        <v>310726</v>
      </c>
      <c r="I202" s="154"/>
      <c r="J202" s="154">
        <f>ROUND(VLOOKUP(A202,'Contribution Allocation_Report'!$A$9:$D$314,4,FALSE)*'OPEB Amounts_Report'!$J$326,0)</f>
        <v>111309</v>
      </c>
      <c r="K202" s="154">
        <f>ROUND(VLOOKUP(A202,'Contribution Allocation_Report'!$A$9:$D$314,4,FALSE)*'OPEB Amounts_Report'!$K$326,0)</f>
        <v>675748</v>
      </c>
      <c r="L202" s="156">
        <f>INDEX('Change in Proportion Layers'!$AG$8:$AG$324,MATCH('OPEB Amounts_Report'!A202,'Change in Proportion Layers'!$A$8:$A$324,0))</f>
        <v>248407</v>
      </c>
      <c r="M202" s="154">
        <f t="shared" si="8"/>
        <v>1035464</v>
      </c>
      <c r="N202" s="155"/>
      <c r="O202" s="155">
        <f>ROUND(VLOOKUP(A202,'Contribution Allocation_Report'!$A$9:$D$314,4,FALSE)*'OPEB Amounts_Report'!$O$326,0)</f>
        <v>-216914</v>
      </c>
      <c r="P202" s="155">
        <f>INDEX('Change in Proportion Layers'!$AD$8:$AD$324,MATCH('OPEB Amounts_Report'!A202,'Change in Proportion Layers'!$A$8:$A$324,0))</f>
        <v>-174370</v>
      </c>
      <c r="Q202" s="155">
        <f t="shared" si="10"/>
        <v>-391284</v>
      </c>
    </row>
    <row r="203" spans="1:17" ht="12" customHeight="1">
      <c r="A203" s="227">
        <v>1001</v>
      </c>
      <c r="B203" s="228" t="s">
        <v>190</v>
      </c>
      <c r="C203" s="84">
        <f>ROUND(VLOOKUP(A203,'Contribution Allocation_Report'!$A$9:$D$314,4,FALSE)*'OPEB Amounts_Report'!$C$326,0)</f>
        <v>4069968</v>
      </c>
      <c r="D203" s="84">
        <f>ROUND(VLOOKUP(A203,'Contribution Allocation_Report'!$A$9:$D$314,4,FALSE)*'OPEB Amounts_Report'!$D$326,0)</f>
        <v>43618</v>
      </c>
      <c r="E203" s="84">
        <f>ROUND(VLOOKUP(A203,'Contribution Allocation_Report'!$A$9:$D$314,4,FALSE)*'OPEB Amounts_Report'!$E$326,0)</f>
        <v>36382</v>
      </c>
      <c r="F203" s="84">
        <f>ROUND(VLOOKUP(A203,'Contribution Allocation_Report'!$A$9:$D$314,4,FALSE)*'OPEB Amounts_Report'!$F$326,0)</f>
        <v>761593</v>
      </c>
      <c r="G203" s="84">
        <f>INDEX('Change in Proportion Layers'!$AF$8:$AF$324,MATCH('OPEB Amounts_Report'!A203,'Change in Proportion Layers'!$A$8:$A$324,0))</f>
        <v>1346255</v>
      </c>
      <c r="H203" s="84">
        <f t="shared" si="9"/>
        <v>2187848</v>
      </c>
      <c r="I203" s="84"/>
      <c r="J203" s="84">
        <f>ROUND(VLOOKUP(A203,'Contribution Allocation_Report'!$A$9:$D$314,4,FALSE)*'OPEB Amounts_Report'!$J$326,0)</f>
        <v>425126</v>
      </c>
      <c r="K203" s="84">
        <f>ROUND(VLOOKUP(A203,'Contribution Allocation_Report'!$A$9:$D$314,4,FALSE)*'OPEB Amounts_Report'!$K$326,0)</f>
        <v>2580917</v>
      </c>
      <c r="L203" s="84">
        <f>INDEX('Change in Proportion Layers'!$AG$8:$AG$324,MATCH('OPEB Amounts_Report'!A203,'Change in Proportion Layers'!$A$8:$A$324,0))</f>
        <v>857341</v>
      </c>
      <c r="M203" s="84">
        <f t="shared" ref="M203:M268" si="13">SUM(J203:L203)</f>
        <v>3863384</v>
      </c>
      <c r="N203" s="85"/>
      <c r="O203" s="85">
        <f>ROUND(VLOOKUP(A203,'Contribution Allocation_Report'!$A$9:$D$314,4,FALSE)*'OPEB Amounts_Report'!$O$326,0)</f>
        <v>-828469</v>
      </c>
      <c r="P203" s="85">
        <f>INDEX('Change in Proportion Layers'!$AD$8:$AD$324,MATCH('OPEB Amounts_Report'!A203,'Change in Proportion Layers'!$A$8:$A$324,0))</f>
        <v>-233878</v>
      </c>
      <c r="Q203" s="85">
        <f t="shared" ref="Q203:Q268" si="14">+O203+P203</f>
        <v>-1062347</v>
      </c>
    </row>
    <row r="204" spans="1:17" ht="12" customHeight="1">
      <c r="A204" s="59">
        <v>11035</v>
      </c>
      <c r="B204" s="63" t="s">
        <v>191</v>
      </c>
      <c r="C204" s="67">
        <f>ROUND(VLOOKUP(A204,'Contribution Allocation_Report'!$A$9:$D$314,4,FALSE)*'OPEB Amounts_Report'!$C$326,0)</f>
        <v>7218057</v>
      </c>
      <c r="D204" s="67">
        <f>ROUND(VLOOKUP(A204,'Contribution Allocation_Report'!$A$9:$D$314,4,FALSE)*'OPEB Amounts_Report'!$D$326,0)</f>
        <v>77356</v>
      </c>
      <c r="E204" s="67">
        <f>ROUND(VLOOKUP(A204,'Contribution Allocation_Report'!$A$9:$D$314,4,FALSE)*'OPEB Amounts_Report'!$E$326,0)</f>
        <v>64522</v>
      </c>
      <c r="F204" s="67">
        <f>ROUND(VLOOKUP(A204,'Contribution Allocation_Report'!$A$9:$D$314,4,FALSE)*'OPEB Amounts_Report'!$F$326,0)</f>
        <v>1350679</v>
      </c>
      <c r="G204" s="67">
        <f>INDEX('Change in Proportion Layers'!$AF$8:$AF$324,MATCH('OPEB Amounts_Report'!A204,'Change in Proportion Layers'!$A$8:$A$324,0))</f>
        <v>1082335</v>
      </c>
      <c r="H204" s="67">
        <f t="shared" ref="H204:H269" si="15">SUM(D204:G204)</f>
        <v>2574892</v>
      </c>
      <c r="I204" s="67"/>
      <c r="J204" s="67">
        <f>ROUND(VLOOKUP(A204,'Contribution Allocation_Report'!$A$9:$D$314,4,FALSE)*'OPEB Amounts_Report'!$J$326,0)</f>
        <v>753958</v>
      </c>
      <c r="K204" s="67">
        <f>ROUND(VLOOKUP(A204,'Contribution Allocation_Report'!$A$9:$D$314,4,FALSE)*'OPEB Amounts_Report'!$K$326,0)</f>
        <v>4577237</v>
      </c>
      <c r="L204" s="67">
        <f>INDEX('Change in Proportion Layers'!$AG$8:$AG$324,MATCH('OPEB Amounts_Report'!A204,'Change in Proportion Layers'!$A$8:$A$324,0))</f>
        <v>562746</v>
      </c>
      <c r="M204" s="67">
        <f t="shared" si="13"/>
        <v>5893941</v>
      </c>
      <c r="N204" s="68"/>
      <c r="O204" s="68">
        <f>ROUND(VLOOKUP(A204,'Contribution Allocation_Report'!$A$9:$D$314,4,FALSE)*'OPEB Amounts_Report'!$O$326,0)</f>
        <v>-1469283</v>
      </c>
      <c r="P204" s="68">
        <f>INDEX('Change in Proportion Layers'!$AD$8:$AD$324,MATCH('OPEB Amounts_Report'!A204,'Change in Proportion Layers'!$A$8:$A$324,0))</f>
        <v>422836</v>
      </c>
      <c r="Q204" s="68">
        <f t="shared" si="14"/>
        <v>-1046447</v>
      </c>
    </row>
    <row r="205" spans="1:17" ht="12" customHeight="1">
      <c r="A205" s="227">
        <v>2320</v>
      </c>
      <c r="B205" s="228" t="s">
        <v>192</v>
      </c>
      <c r="C205" s="84">
        <f>ROUND(VLOOKUP(A205,'Contribution Allocation_Report'!$A$9:$D$314,4,FALSE)*'OPEB Amounts_Report'!$C$326,0)</f>
        <v>848448</v>
      </c>
      <c r="D205" s="84">
        <f>ROUND(VLOOKUP(A205,'Contribution Allocation_Report'!$A$9:$D$314,4,FALSE)*'OPEB Amounts_Report'!$D$326,0)</f>
        <v>9093</v>
      </c>
      <c r="E205" s="84">
        <f>ROUND(VLOOKUP(A205,'Contribution Allocation_Report'!$A$9:$D$314,4,FALSE)*'OPEB Amounts_Report'!$E$326,0)</f>
        <v>7584</v>
      </c>
      <c r="F205" s="84">
        <f>ROUND(VLOOKUP(A205,'Contribution Allocation_Report'!$A$9:$D$314,4,FALSE)*'OPEB Amounts_Report'!$F$326,0)</f>
        <v>158766</v>
      </c>
      <c r="G205" s="84">
        <f>INDEX('Change in Proportion Layers'!$AF$8:$AF$324,MATCH('OPEB Amounts_Report'!A205,'Change in Proportion Layers'!$A$8:$A$324,0))</f>
        <v>126559</v>
      </c>
      <c r="H205" s="84">
        <f t="shared" si="15"/>
        <v>302002</v>
      </c>
      <c r="I205" s="84"/>
      <c r="J205" s="84">
        <f>ROUND(VLOOKUP(A205,'Contribution Allocation_Report'!$A$9:$D$314,4,FALSE)*'OPEB Amounts_Report'!$J$326,0)</f>
        <v>88624</v>
      </c>
      <c r="K205" s="84">
        <f>ROUND(VLOOKUP(A205,'Contribution Allocation_Report'!$A$9:$D$314,4,FALSE)*'OPEB Amounts_Report'!$K$326,0)</f>
        <v>538032</v>
      </c>
      <c r="L205" s="84">
        <f>INDEX('Change in Proportion Layers'!$AG$8:$AG$324,MATCH('OPEB Amounts_Report'!A205,'Change in Proportion Layers'!$A$8:$A$324,0))</f>
        <v>107590</v>
      </c>
      <c r="M205" s="84">
        <f t="shared" si="13"/>
        <v>734246</v>
      </c>
      <c r="N205" s="85"/>
      <c r="O205" s="85">
        <f>ROUND(VLOOKUP(A205,'Contribution Allocation_Report'!$A$9:$D$314,4,FALSE)*'OPEB Amounts_Report'!$O$326,0)</f>
        <v>-172707</v>
      </c>
      <c r="P205" s="85">
        <f>INDEX('Change in Proportion Layers'!$AD$8:$AD$324,MATCH('OPEB Amounts_Report'!A205,'Change in Proportion Layers'!$A$8:$A$324,0))</f>
        <v>9734</v>
      </c>
      <c r="Q205" s="85">
        <f t="shared" si="14"/>
        <v>-162973</v>
      </c>
    </row>
    <row r="206" spans="1:17" ht="12" customHeight="1">
      <c r="A206" s="59">
        <v>28084</v>
      </c>
      <c r="B206" s="63" t="s">
        <v>193</v>
      </c>
      <c r="C206" s="67">
        <f>ROUND(VLOOKUP(A206,'Contribution Allocation_Report'!$A$9:$D$314,4,FALSE)*'OPEB Amounts_Report'!$C$326,0)</f>
        <v>713285</v>
      </c>
      <c r="D206" s="67">
        <f>ROUND(VLOOKUP(A206,'Contribution Allocation_Report'!$A$9:$D$314,4,FALSE)*'OPEB Amounts_Report'!$D$326,0)</f>
        <v>7644</v>
      </c>
      <c r="E206" s="67">
        <f>ROUND(VLOOKUP(A206,'Contribution Allocation_Report'!$A$9:$D$314,4,FALSE)*'OPEB Amounts_Report'!$E$326,0)</f>
        <v>6376</v>
      </c>
      <c r="F206" s="67">
        <f>ROUND(VLOOKUP(A206,'Contribution Allocation_Report'!$A$9:$D$314,4,FALSE)*'OPEB Amounts_Report'!$F$326,0)</f>
        <v>133474</v>
      </c>
      <c r="G206" s="67">
        <f>INDEX('Change in Proportion Layers'!$AF$8:$AF$324,MATCH('OPEB Amounts_Report'!A206,'Change in Proportion Layers'!$A$8:$A$324,0))</f>
        <v>109074</v>
      </c>
      <c r="H206" s="67">
        <f t="shared" si="15"/>
        <v>256568</v>
      </c>
      <c r="I206" s="67"/>
      <c r="J206" s="67">
        <f>ROUND(VLOOKUP(A206,'Contribution Allocation_Report'!$A$9:$D$314,4,FALSE)*'OPEB Amounts_Report'!$J$326,0)</f>
        <v>74506</v>
      </c>
      <c r="K206" s="67">
        <f>ROUND(VLOOKUP(A206,'Contribution Allocation_Report'!$A$9:$D$314,4,FALSE)*'OPEB Amounts_Report'!$K$326,0)</f>
        <v>452321</v>
      </c>
      <c r="L206" s="67">
        <f>INDEX('Change in Proportion Layers'!$AG$8:$AG$324,MATCH('OPEB Amounts_Report'!A206,'Change in Proportion Layers'!$A$8:$A$324,0))</f>
        <v>26016</v>
      </c>
      <c r="M206" s="67">
        <f t="shared" si="13"/>
        <v>552843</v>
      </c>
      <c r="N206" s="68"/>
      <c r="O206" s="68">
        <f>ROUND(VLOOKUP(A206,'Contribution Allocation_Report'!$A$9:$D$314,4,FALSE)*'OPEB Amounts_Report'!$O$326,0)</f>
        <v>-145194</v>
      </c>
      <c r="P206" s="68">
        <f>INDEX('Change in Proportion Layers'!$AD$8:$AD$324,MATCH('OPEB Amounts_Report'!A206,'Change in Proportion Layers'!$A$8:$A$324,0))</f>
        <v>23913</v>
      </c>
      <c r="Q206" s="68">
        <f t="shared" si="14"/>
        <v>-121281</v>
      </c>
    </row>
    <row r="207" spans="1:17" ht="12" customHeight="1">
      <c r="A207" s="227">
        <v>20125</v>
      </c>
      <c r="B207" s="228" t="s">
        <v>194</v>
      </c>
      <c r="C207" s="84">
        <f>ROUND(VLOOKUP(A207,'Contribution Allocation_Report'!$A$9:$D$314,4,FALSE)*'OPEB Amounts_Report'!$C$326,0)</f>
        <v>1082001</v>
      </c>
      <c r="D207" s="84">
        <f>ROUND(VLOOKUP(A207,'Contribution Allocation_Report'!$A$9:$D$314,4,FALSE)*'OPEB Amounts_Report'!$D$326,0)</f>
        <v>11596</v>
      </c>
      <c r="E207" s="84">
        <f>ROUND(VLOOKUP(A207,'Contribution Allocation_Report'!$A$9:$D$314,4,FALSE)*'OPEB Amounts_Report'!$E$326,0)</f>
        <v>9672</v>
      </c>
      <c r="F207" s="84">
        <f>ROUND(VLOOKUP(A207,'Contribution Allocation_Report'!$A$9:$D$314,4,FALSE)*'OPEB Amounts_Report'!$F$326,0)</f>
        <v>202469</v>
      </c>
      <c r="G207" s="84">
        <f>INDEX('Change in Proportion Layers'!$AF$8:$AF$324,MATCH('OPEB Amounts_Report'!A207,'Change in Proportion Layers'!$A$8:$A$324,0))</f>
        <v>461626</v>
      </c>
      <c r="H207" s="84">
        <f t="shared" si="15"/>
        <v>685363</v>
      </c>
      <c r="I207" s="84"/>
      <c r="J207" s="84">
        <f>ROUND(VLOOKUP(A207,'Contribution Allocation_Report'!$A$9:$D$314,4,FALSE)*'OPEB Amounts_Report'!$J$326,0)</f>
        <v>113020</v>
      </c>
      <c r="K207" s="84">
        <f>ROUND(VLOOKUP(A207,'Contribution Allocation_Report'!$A$9:$D$314,4,FALSE)*'OPEB Amounts_Report'!$K$326,0)</f>
        <v>686137</v>
      </c>
      <c r="L207" s="251">
        <f>INDEX('Change in Proportion Layers'!$AG$8:$AG$324,MATCH('OPEB Amounts_Report'!A207,'Change in Proportion Layers'!$A$8:$A$324,0))</f>
        <v>224062</v>
      </c>
      <c r="M207" s="84">
        <f t="shared" si="13"/>
        <v>1023219</v>
      </c>
      <c r="N207" s="85"/>
      <c r="O207" s="85">
        <f>ROUND(VLOOKUP(A207,'Contribution Allocation_Report'!$A$9:$D$314,4,FALSE)*'OPEB Amounts_Report'!$O$326,0)</f>
        <v>-220248</v>
      </c>
      <c r="P207" s="85">
        <f>INDEX('Change in Proportion Layers'!$AD$8:$AD$324,MATCH('OPEB Amounts_Report'!A207,'Change in Proportion Layers'!$A$8:$A$324,0))</f>
        <v>-35468</v>
      </c>
      <c r="Q207" s="85">
        <f t="shared" si="14"/>
        <v>-255716</v>
      </c>
    </row>
    <row r="208" spans="1:17" s="181" customFormat="1" ht="12" customHeight="1">
      <c r="A208" s="59">
        <v>7445</v>
      </c>
      <c r="B208" s="63" t="s">
        <v>411</v>
      </c>
      <c r="C208" s="67">
        <f>ROUND(VLOOKUP(A208,'Contribution Allocation_Report'!$A$9:$D$314,4,FALSE)*'OPEB Amounts_Report'!$C$326,0)</f>
        <v>427839</v>
      </c>
      <c r="D208" s="67">
        <f>ROUND(VLOOKUP(A208,'Contribution Allocation_Report'!$A$9:$D$314,4,FALSE)*'OPEB Amounts_Report'!$D$326,0)</f>
        <v>4585</v>
      </c>
      <c r="E208" s="67">
        <f>ROUND(VLOOKUP(A208,'Contribution Allocation_Report'!$A$9:$D$314,4,FALSE)*'OPEB Amounts_Report'!$E$326,0)</f>
        <v>3824</v>
      </c>
      <c r="F208" s="67">
        <f>ROUND(VLOOKUP(A208,'Contribution Allocation_Report'!$A$9:$D$314,4,FALSE)*'OPEB Amounts_Report'!$F$326,0)</f>
        <v>80059</v>
      </c>
      <c r="G208" s="250">
        <f>INDEX('Change in Proportion Layers'!$AF$8:$AF$324,MATCH('OPEB Amounts_Report'!A208,'Change in Proportion Layers'!$A$8:$A$324,0))</f>
        <v>464417</v>
      </c>
      <c r="H208" s="67">
        <f t="shared" si="15"/>
        <v>552885</v>
      </c>
      <c r="I208" s="67"/>
      <c r="J208" s="67">
        <f>ROUND(VLOOKUP(A208,'Contribution Allocation_Report'!$A$9:$D$314,4,FALSE)*'OPEB Amounts_Report'!$J$326,0)</f>
        <v>44690</v>
      </c>
      <c r="K208" s="67">
        <f>ROUND(VLOOKUP(A208,'Contribution Allocation_Report'!$A$9:$D$314,4,FALSE)*'OPEB Amounts_Report'!$K$326,0)</f>
        <v>271309</v>
      </c>
      <c r="L208" s="67">
        <f>INDEX('Change in Proportion Layers'!$AG$8:$AG$324,MATCH('OPEB Amounts_Report'!A208,'Change in Proportion Layers'!$A$8:$A$324,0))</f>
        <v>0</v>
      </c>
      <c r="M208" s="67">
        <f t="shared" si="13"/>
        <v>315999</v>
      </c>
      <c r="N208" s="68"/>
      <c r="O208" s="68">
        <f>ROUND(VLOOKUP(A208,'Contribution Allocation_Report'!$A$9:$D$314,4,FALSE)*'OPEB Amounts_Report'!$O$326,0)</f>
        <v>-87090</v>
      </c>
      <c r="P208" s="68">
        <f>INDEX('Change in Proportion Layers'!$AD$8:$AD$324,MATCH('OPEB Amounts_Report'!A208,'Change in Proportion Layers'!$A$8:$A$324,0))</f>
        <v>174068</v>
      </c>
      <c r="Q208" s="68">
        <f t="shared" si="14"/>
        <v>86978</v>
      </c>
    </row>
    <row r="209" spans="1:17" ht="12" customHeight="1">
      <c r="A209" s="227">
        <v>9029</v>
      </c>
      <c r="B209" s="228" t="s">
        <v>196</v>
      </c>
      <c r="C209" s="84">
        <f>ROUND(VLOOKUP(A209,'Contribution Allocation_Report'!$A$9:$D$314,4,FALSE)*'OPEB Amounts_Report'!$C$326,0)</f>
        <v>2116061</v>
      </c>
      <c r="D209" s="84">
        <f>ROUND(VLOOKUP(A209,'Contribution Allocation_Report'!$A$9:$D$314,4,FALSE)*'OPEB Amounts_Report'!$D$326,0)</f>
        <v>22678</v>
      </c>
      <c r="E209" s="84">
        <f>ROUND(VLOOKUP(A209,'Contribution Allocation_Report'!$A$9:$D$314,4,FALSE)*'OPEB Amounts_Report'!$E$326,0)</f>
        <v>18916</v>
      </c>
      <c r="F209" s="84">
        <f>ROUND(VLOOKUP(A209,'Contribution Allocation_Report'!$A$9:$D$314,4,FALSE)*'OPEB Amounts_Report'!$F$326,0)</f>
        <v>395968</v>
      </c>
      <c r="G209" s="84">
        <f>INDEX('Change in Proportion Layers'!$AF$8:$AF$324,MATCH('OPEB Amounts_Report'!A209,'Change in Proportion Layers'!$A$8:$A$324,0))</f>
        <v>373333</v>
      </c>
      <c r="H209" s="84">
        <f t="shared" si="15"/>
        <v>810895</v>
      </c>
      <c r="I209" s="84"/>
      <c r="J209" s="84">
        <f>ROUND(VLOOKUP(A209,'Contribution Allocation_Report'!$A$9:$D$314,4,FALSE)*'OPEB Amounts_Report'!$J$326,0)</f>
        <v>221032</v>
      </c>
      <c r="K209" s="84">
        <f>ROUND(VLOOKUP(A209,'Contribution Allocation_Report'!$A$9:$D$314,4,FALSE)*'OPEB Amounts_Report'!$K$326,0)</f>
        <v>1341872</v>
      </c>
      <c r="L209" s="251">
        <f>INDEX('Change in Proportion Layers'!$AG$8:$AG$324,MATCH('OPEB Amounts_Report'!A209,'Change in Proportion Layers'!$A$8:$A$324,0))</f>
        <v>157626</v>
      </c>
      <c r="M209" s="84">
        <f t="shared" si="13"/>
        <v>1720530</v>
      </c>
      <c r="N209" s="85"/>
      <c r="O209" s="85">
        <f>ROUND(VLOOKUP(A209,'Contribution Allocation_Report'!$A$9:$D$314,4,FALSE)*'OPEB Amounts_Report'!$O$326,0)</f>
        <v>-430738</v>
      </c>
      <c r="P209" s="85">
        <f>INDEX('Change in Proportion Layers'!$AD$8:$AD$324,MATCH('OPEB Amounts_Report'!A209,'Change in Proportion Layers'!$A$8:$A$324,0))</f>
        <v>87410</v>
      </c>
      <c r="Q209" s="85">
        <f t="shared" si="14"/>
        <v>-343328</v>
      </c>
    </row>
    <row r="210" spans="1:17" ht="12" customHeight="1">
      <c r="A210" s="59">
        <v>2580</v>
      </c>
      <c r="B210" s="63" t="s">
        <v>197</v>
      </c>
      <c r="C210" s="67">
        <f>ROUND(VLOOKUP(A210,'Contribution Allocation_Report'!$A$9:$D$314,4,FALSE)*'OPEB Amounts_Report'!$C$326,0)</f>
        <v>254532</v>
      </c>
      <c r="D210" s="67">
        <f>ROUND(VLOOKUP(A210,'Contribution Allocation_Report'!$A$9:$D$314,4,FALSE)*'OPEB Amounts_Report'!$D$326,0)</f>
        <v>2728</v>
      </c>
      <c r="E210" s="67">
        <f>ROUND(VLOOKUP(A210,'Contribution Allocation_Report'!$A$9:$D$314,4,FALSE)*'OPEB Amounts_Report'!$E$326,0)</f>
        <v>2275</v>
      </c>
      <c r="F210" s="67">
        <f>ROUND(VLOOKUP(A210,'Contribution Allocation_Report'!$A$9:$D$314,4,FALSE)*'OPEB Amounts_Report'!$F$326,0)</f>
        <v>47629</v>
      </c>
      <c r="G210" s="250">
        <f>INDEX('Change in Proportion Layers'!$AF$8:$AF$324,MATCH('OPEB Amounts_Report'!A210,'Change in Proportion Layers'!$A$8:$A$324,0))</f>
        <v>1076</v>
      </c>
      <c r="H210" s="67">
        <f t="shared" si="15"/>
        <v>53708</v>
      </c>
      <c r="I210" s="67"/>
      <c r="J210" s="67">
        <f>ROUND(VLOOKUP(A210,'Contribution Allocation_Report'!$A$9:$D$314,4,FALSE)*'OPEB Amounts_Report'!$J$326,0)</f>
        <v>26587</v>
      </c>
      <c r="K210" s="67">
        <f>ROUND(VLOOKUP(A210,'Contribution Allocation_Report'!$A$9:$D$314,4,FALSE)*'OPEB Amounts_Report'!$K$326,0)</f>
        <v>161408</v>
      </c>
      <c r="L210" s="67">
        <f>INDEX('Change in Proportion Layers'!$AG$8:$AG$324,MATCH('OPEB Amounts_Report'!A210,'Change in Proportion Layers'!$A$8:$A$324,0))</f>
        <v>89580</v>
      </c>
      <c r="M210" s="67">
        <f t="shared" si="13"/>
        <v>277575</v>
      </c>
      <c r="N210" s="68"/>
      <c r="O210" s="68">
        <f>ROUND(VLOOKUP(A210,'Contribution Allocation_Report'!$A$9:$D$314,4,FALSE)*'OPEB Amounts_Report'!$O$326,0)</f>
        <v>-51812</v>
      </c>
      <c r="P210" s="68">
        <f>INDEX('Change in Proportion Layers'!$AD$8:$AD$324,MATCH('OPEB Amounts_Report'!A210,'Change in Proportion Layers'!$A$8:$A$324,0))</f>
        <v>-39937</v>
      </c>
      <c r="Q210" s="68">
        <f t="shared" si="14"/>
        <v>-91749</v>
      </c>
    </row>
    <row r="211" spans="1:17" ht="12" customHeight="1">
      <c r="A211" s="227">
        <v>20312</v>
      </c>
      <c r="B211" s="228" t="s">
        <v>198</v>
      </c>
      <c r="C211" s="84">
        <f>ROUND(VLOOKUP(A211,'Contribution Allocation_Report'!$A$9:$D$314,4,FALSE)*'OPEB Amounts_Report'!$C$326,0)</f>
        <v>207740</v>
      </c>
      <c r="D211" s="84">
        <f>ROUND(VLOOKUP(A211,'Contribution Allocation_Report'!$A$9:$D$314,4,FALSE)*'OPEB Amounts_Report'!$D$326,0)</f>
        <v>2226</v>
      </c>
      <c r="E211" s="84">
        <f>ROUND(VLOOKUP(A211,'Contribution Allocation_Report'!$A$9:$D$314,4,FALSE)*'OPEB Amounts_Report'!$E$326,0)</f>
        <v>1857</v>
      </c>
      <c r="F211" s="84">
        <f>ROUND(VLOOKUP(A211,'Contribution Allocation_Report'!$A$9:$D$314,4,FALSE)*'OPEB Amounts_Report'!$F$326,0)</f>
        <v>38873</v>
      </c>
      <c r="G211" s="84">
        <f>INDEX('Change in Proportion Layers'!$AF$8:$AF$324,MATCH('OPEB Amounts_Report'!A211,'Change in Proportion Layers'!$A$8:$A$324,0))</f>
        <v>24225</v>
      </c>
      <c r="H211" s="84">
        <f t="shared" si="15"/>
        <v>67181</v>
      </c>
      <c r="I211" s="84"/>
      <c r="J211" s="84">
        <f>ROUND(VLOOKUP(A211,'Contribution Allocation_Report'!$A$9:$D$314,4,FALSE)*'OPEB Amounts_Report'!$J$326,0)</f>
        <v>21699</v>
      </c>
      <c r="K211" s="84">
        <f>ROUND(VLOOKUP(A211,'Contribution Allocation_Report'!$A$9:$D$314,4,FALSE)*'OPEB Amounts_Report'!$K$326,0)</f>
        <v>131735</v>
      </c>
      <c r="L211" s="251">
        <f>INDEX('Change in Proportion Layers'!$AG$8:$AG$324,MATCH('OPEB Amounts_Report'!A211,'Change in Proportion Layers'!$A$8:$A$324,0))</f>
        <v>35798</v>
      </c>
      <c r="M211" s="84">
        <f t="shared" si="13"/>
        <v>189232</v>
      </c>
      <c r="N211" s="85"/>
      <c r="O211" s="85">
        <f>ROUND(VLOOKUP(A211,'Contribution Allocation_Report'!$A$9:$D$314,4,FALSE)*'OPEB Amounts_Report'!$O$326,0)</f>
        <v>-42287</v>
      </c>
      <c r="P211" s="85">
        <f>INDEX('Change in Proportion Layers'!$AD$8:$AD$324,MATCH('OPEB Amounts_Report'!A211,'Change in Proportion Layers'!$A$8:$A$324,0))</f>
        <v>14154</v>
      </c>
      <c r="Q211" s="85">
        <f t="shared" si="14"/>
        <v>-28133</v>
      </c>
    </row>
    <row r="212" spans="1:17" ht="12" customHeight="1">
      <c r="A212" s="59">
        <v>26150</v>
      </c>
      <c r="B212" s="63" t="s">
        <v>199</v>
      </c>
      <c r="C212" s="67">
        <f>ROUND(VLOOKUP(A212,'Contribution Allocation_Report'!$A$9:$D$314,4,FALSE)*'OPEB Amounts_Report'!$C$326,0)</f>
        <v>1539704</v>
      </c>
      <c r="D212" s="67">
        <f>ROUND(VLOOKUP(A212,'Contribution Allocation_Report'!$A$9:$D$314,4,FALSE)*'OPEB Amounts_Report'!$D$326,0)</f>
        <v>16501</v>
      </c>
      <c r="E212" s="67">
        <f>ROUND(VLOOKUP(A212,'Contribution Allocation_Report'!$A$9:$D$314,4,FALSE)*'OPEB Amounts_Report'!$E$326,0)</f>
        <v>13763</v>
      </c>
      <c r="F212" s="67">
        <f>ROUND(VLOOKUP(A212,'Contribution Allocation_Report'!$A$9:$D$314,4,FALSE)*'OPEB Amounts_Report'!$F$326,0)</f>
        <v>288117</v>
      </c>
      <c r="G212" s="67">
        <f>INDEX('Change in Proportion Layers'!$AF$8:$AF$324,MATCH('OPEB Amounts_Report'!A212,'Change in Proportion Layers'!$A$8:$A$324,0))</f>
        <v>138167</v>
      </c>
      <c r="H212" s="67">
        <f t="shared" si="15"/>
        <v>456548</v>
      </c>
      <c r="I212" s="67"/>
      <c r="J212" s="67">
        <f>ROUND(VLOOKUP(A212,'Contribution Allocation_Report'!$A$9:$D$314,4,FALSE)*'OPEB Amounts_Report'!$J$326,0)</f>
        <v>160829</v>
      </c>
      <c r="K212" s="67">
        <f>ROUND(VLOOKUP(A212,'Contribution Allocation_Report'!$A$9:$D$314,4,FALSE)*'OPEB Amounts_Report'!$K$326,0)</f>
        <v>976383</v>
      </c>
      <c r="L212" s="67">
        <f>INDEX('Change in Proportion Layers'!$AG$8:$AG$324,MATCH('OPEB Amounts_Report'!A212,'Change in Proportion Layers'!$A$8:$A$324,0))</f>
        <v>155128</v>
      </c>
      <c r="M212" s="67">
        <f t="shared" si="13"/>
        <v>1292340</v>
      </c>
      <c r="N212" s="68"/>
      <c r="O212" s="68">
        <f>ROUND(VLOOKUP(A212,'Contribution Allocation_Report'!$A$9:$D$314,4,FALSE)*'OPEB Amounts_Report'!$O$326,0)</f>
        <v>-313417</v>
      </c>
      <c r="P212" s="68">
        <f>INDEX('Change in Proportion Layers'!$AD$8:$AD$324,MATCH('OPEB Amounts_Report'!A212,'Change in Proportion Layers'!$A$8:$A$324,0))</f>
        <v>96456</v>
      </c>
      <c r="Q212" s="68">
        <f t="shared" si="14"/>
        <v>-216961</v>
      </c>
    </row>
    <row r="213" spans="1:17" ht="12" customHeight="1">
      <c r="A213" s="227">
        <v>5016</v>
      </c>
      <c r="B213" s="228" t="s">
        <v>200</v>
      </c>
      <c r="C213" s="84">
        <f>ROUND(VLOOKUP(A213,'Contribution Allocation_Report'!$A$9:$D$314,4,FALSE)*'OPEB Amounts_Report'!$C$326,0)</f>
        <v>223813</v>
      </c>
      <c r="D213" s="84">
        <f>ROUND(VLOOKUP(A213,'Contribution Allocation_Report'!$A$9:$D$314,4,FALSE)*'OPEB Amounts_Report'!$D$326,0)</f>
        <v>2399</v>
      </c>
      <c r="E213" s="84">
        <f>ROUND(VLOOKUP(A213,'Contribution Allocation_Report'!$A$9:$D$314,4,FALSE)*'OPEB Amounts_Report'!$E$326,0)</f>
        <v>2001</v>
      </c>
      <c r="F213" s="84">
        <f>ROUND(VLOOKUP(A213,'Contribution Allocation_Report'!$A$9:$D$314,4,FALSE)*'OPEB Amounts_Report'!$F$326,0)</f>
        <v>41881</v>
      </c>
      <c r="G213" s="84">
        <f>INDEX('Change in Proportion Layers'!$AF$8:$AF$324,MATCH('OPEB Amounts_Report'!A213,'Change in Proportion Layers'!$A$8:$A$324,0))</f>
        <v>72042</v>
      </c>
      <c r="H213" s="84">
        <f t="shared" si="15"/>
        <v>118323</v>
      </c>
      <c r="I213" s="84"/>
      <c r="J213" s="84">
        <f>ROUND(VLOOKUP(A213,'Contribution Allocation_Report'!$A$9:$D$314,4,FALSE)*'OPEB Amounts_Report'!$J$326,0)</f>
        <v>23378</v>
      </c>
      <c r="K213" s="84">
        <f>ROUND(VLOOKUP(A213,'Contribution Allocation_Report'!$A$9:$D$314,4,FALSE)*'OPEB Amounts_Report'!$K$326,0)</f>
        <v>141928</v>
      </c>
      <c r="L213" s="84">
        <f>INDEX('Change in Proportion Layers'!$AG$8:$AG$324,MATCH('OPEB Amounts_Report'!A213,'Change in Proportion Layers'!$A$8:$A$324,0))</f>
        <v>13315</v>
      </c>
      <c r="M213" s="84">
        <f t="shared" si="13"/>
        <v>178621</v>
      </c>
      <c r="N213" s="85"/>
      <c r="O213" s="85">
        <f>ROUND(VLOOKUP(A213,'Contribution Allocation_Report'!$A$9:$D$314,4,FALSE)*'OPEB Amounts_Report'!$O$326,0)</f>
        <v>-45559</v>
      </c>
      <c r="P213" s="85">
        <f>INDEX('Change in Proportion Layers'!$AD$8:$AD$324,MATCH('OPEB Amounts_Report'!A213,'Change in Proportion Layers'!$A$8:$A$324,0))</f>
        <v>-6051</v>
      </c>
      <c r="Q213" s="85">
        <f t="shared" si="14"/>
        <v>-51610</v>
      </c>
    </row>
    <row r="214" spans="1:17" ht="12" customHeight="1">
      <c r="A214" s="59">
        <v>6150</v>
      </c>
      <c r="B214" s="63" t="s">
        <v>201</v>
      </c>
      <c r="C214" s="67">
        <f>ROUND(VLOOKUP(A214,'Contribution Allocation_Report'!$A$9:$D$314,4,FALSE)*'OPEB Amounts_Report'!$C$326,0)</f>
        <v>176685</v>
      </c>
      <c r="D214" s="67">
        <f>ROUND(VLOOKUP(A214,'Contribution Allocation_Report'!$A$9:$D$314,4,FALSE)*'OPEB Amounts_Report'!$D$326,0)</f>
        <v>1894</v>
      </c>
      <c r="E214" s="67">
        <f>ROUND(VLOOKUP(A214,'Contribution Allocation_Report'!$A$9:$D$314,4,FALSE)*'OPEB Amounts_Report'!$E$326,0)</f>
        <v>1579</v>
      </c>
      <c r="F214" s="67">
        <f>ROUND(VLOOKUP(A214,'Contribution Allocation_Report'!$A$9:$D$314,4,FALSE)*'OPEB Amounts_Report'!$F$326,0)</f>
        <v>33062</v>
      </c>
      <c r="G214" s="67">
        <f>INDEX('Change in Proportion Layers'!$AF$8:$AF$324,MATCH('OPEB Amounts_Report'!A214,'Change in Proportion Layers'!$A$8:$A$324,0))</f>
        <v>147624</v>
      </c>
      <c r="H214" s="67">
        <f t="shared" si="15"/>
        <v>184159</v>
      </c>
      <c r="I214" s="67"/>
      <c r="J214" s="67">
        <f>ROUND(VLOOKUP(A214,'Contribution Allocation_Report'!$A$9:$D$314,4,FALSE)*'OPEB Amounts_Report'!$J$326,0)</f>
        <v>18456</v>
      </c>
      <c r="K214" s="67">
        <f>ROUND(VLOOKUP(A214,'Contribution Allocation_Report'!$A$9:$D$314,4,FALSE)*'OPEB Amounts_Report'!$K$326,0)</f>
        <v>112043</v>
      </c>
      <c r="L214" s="250">
        <f>INDEX('Change in Proportion Layers'!$AG$8:$AG$324,MATCH('OPEB Amounts_Report'!A214,'Change in Proportion Layers'!$A$8:$A$324,0))</f>
        <v>114573</v>
      </c>
      <c r="M214" s="67">
        <f t="shared" si="13"/>
        <v>245072</v>
      </c>
      <c r="N214" s="68"/>
      <c r="O214" s="68">
        <f>ROUND(VLOOKUP(A214,'Contribution Allocation_Report'!$A$9:$D$314,4,FALSE)*'OPEB Amounts_Report'!$O$326,0)</f>
        <v>-35965</v>
      </c>
      <c r="P214" s="68">
        <f>INDEX('Change in Proportion Layers'!$AD$8:$AD$324,MATCH('OPEB Amounts_Report'!A214,'Change in Proportion Layers'!$A$8:$A$324,0))</f>
        <v>34129</v>
      </c>
      <c r="Q214" s="68">
        <f t="shared" si="14"/>
        <v>-1836</v>
      </c>
    </row>
    <row r="215" spans="1:17" ht="12" customHeight="1">
      <c r="A215" s="227">
        <v>4480</v>
      </c>
      <c r="B215" s="228" t="s">
        <v>202</v>
      </c>
      <c r="C215" s="84">
        <f>ROUND(VLOOKUP(A215,'Contribution Allocation_Report'!$A$9:$D$314,4,FALSE)*'OPEB Amounts_Report'!$C$326,0)</f>
        <v>297400</v>
      </c>
      <c r="D215" s="84">
        <f>ROUND(VLOOKUP(A215,'Contribution Allocation_Report'!$A$9:$D$314,4,FALSE)*'OPEB Amounts_Report'!$D$326,0)</f>
        <v>3187</v>
      </c>
      <c r="E215" s="84">
        <f>ROUND(VLOOKUP(A215,'Contribution Allocation_Report'!$A$9:$D$314,4,FALSE)*'OPEB Amounts_Report'!$E$326,0)</f>
        <v>2658</v>
      </c>
      <c r="F215" s="84">
        <f>ROUND(VLOOKUP(A215,'Contribution Allocation_Report'!$A$9:$D$314,4,FALSE)*'OPEB Amounts_Report'!$F$326,0)</f>
        <v>55651</v>
      </c>
      <c r="G215" s="84">
        <f>INDEX('Change in Proportion Layers'!$AF$8:$AF$324,MATCH('OPEB Amounts_Report'!A215,'Change in Proportion Layers'!$A$8:$A$324,0))</f>
        <v>45269</v>
      </c>
      <c r="H215" s="84">
        <f t="shared" si="15"/>
        <v>106765</v>
      </c>
      <c r="I215" s="84"/>
      <c r="J215" s="84">
        <f>ROUND(VLOOKUP(A215,'Contribution Allocation_Report'!$A$9:$D$314,4,FALSE)*'OPEB Amounts_Report'!$J$326,0)</f>
        <v>31065</v>
      </c>
      <c r="K215" s="84">
        <f>ROUND(VLOOKUP(A215,'Contribution Allocation_Report'!$A$9:$D$314,4,FALSE)*'OPEB Amounts_Report'!$K$326,0)</f>
        <v>188592</v>
      </c>
      <c r="L215" s="84">
        <f>INDEX('Change in Proportion Layers'!$AG$8:$AG$324,MATCH('OPEB Amounts_Report'!A215,'Change in Proportion Layers'!$A$8:$A$324,0))</f>
        <v>82537</v>
      </c>
      <c r="M215" s="84">
        <f t="shared" si="13"/>
        <v>302194</v>
      </c>
      <c r="N215" s="85"/>
      <c r="O215" s="85">
        <f>ROUND(VLOOKUP(A215,'Contribution Allocation_Report'!$A$9:$D$314,4,FALSE)*'OPEB Amounts_Report'!$O$326,0)</f>
        <v>-60538</v>
      </c>
      <c r="P215" s="85">
        <f>INDEX('Change in Proportion Layers'!$AD$8:$AD$324,MATCH('OPEB Amounts_Report'!A215,'Change in Proportion Layers'!$A$8:$A$324,0))</f>
        <v>-23986</v>
      </c>
      <c r="Q215" s="85">
        <f t="shared" si="14"/>
        <v>-84524</v>
      </c>
    </row>
    <row r="216" spans="1:17" ht="12" customHeight="1">
      <c r="A216" s="59">
        <v>28085</v>
      </c>
      <c r="B216" s="63" t="s">
        <v>203</v>
      </c>
      <c r="C216" s="67">
        <f>ROUND(VLOOKUP(A216,'Contribution Allocation_Report'!$A$9:$D$314,4,FALSE)*'OPEB Amounts_Report'!$C$326,0)</f>
        <v>556205</v>
      </c>
      <c r="D216" s="67">
        <f>ROUND(VLOOKUP(A216,'Contribution Allocation_Report'!$A$9:$D$314,4,FALSE)*'OPEB Amounts_Report'!$D$326,0)</f>
        <v>5961</v>
      </c>
      <c r="E216" s="67">
        <f>ROUND(VLOOKUP(A216,'Contribution Allocation_Report'!$A$9:$D$314,4,FALSE)*'OPEB Amounts_Report'!$E$326,0)</f>
        <v>4972</v>
      </c>
      <c r="F216" s="67">
        <f>ROUND(VLOOKUP(A216,'Contribution Allocation_Report'!$A$9:$D$314,4,FALSE)*'OPEB Amounts_Report'!$F$326,0)</f>
        <v>104080</v>
      </c>
      <c r="G216" s="67">
        <f>INDEX('Change in Proportion Layers'!$AF$8:$AF$324,MATCH('OPEB Amounts_Report'!A216,'Change in Proportion Layers'!$A$8:$A$324,0))</f>
        <v>39742</v>
      </c>
      <c r="H216" s="67">
        <f t="shared" si="15"/>
        <v>154755</v>
      </c>
      <c r="I216" s="67"/>
      <c r="J216" s="67">
        <f>ROUND(VLOOKUP(A216,'Contribution Allocation_Report'!$A$9:$D$314,4,FALSE)*'OPEB Amounts_Report'!$J$326,0)</f>
        <v>58098</v>
      </c>
      <c r="K216" s="67">
        <f>ROUND(VLOOKUP(A216,'Contribution Allocation_Report'!$A$9:$D$314,4,FALSE)*'OPEB Amounts_Report'!$K$326,0)</f>
        <v>352710</v>
      </c>
      <c r="L216" s="67">
        <f>INDEX('Change in Proportion Layers'!$AG$8:$AG$324,MATCH('OPEB Amounts_Report'!A216,'Change in Proportion Layers'!$A$8:$A$324,0))</f>
        <v>72334</v>
      </c>
      <c r="M216" s="67">
        <f t="shared" si="13"/>
        <v>483142</v>
      </c>
      <c r="N216" s="68"/>
      <c r="O216" s="68">
        <f>ROUND(VLOOKUP(A216,'Contribution Allocation_Report'!$A$9:$D$314,4,FALSE)*'OPEB Amounts_Report'!$O$326,0)</f>
        <v>-113219</v>
      </c>
      <c r="P216" s="68">
        <f>INDEX('Change in Proportion Layers'!$AD$8:$AD$324,MATCH('OPEB Amounts_Report'!A216,'Change in Proportion Layers'!$A$8:$A$324,0))</f>
        <v>-20856</v>
      </c>
      <c r="Q216" s="68">
        <f t="shared" si="14"/>
        <v>-134075</v>
      </c>
    </row>
    <row r="217" spans="1:17" ht="12" customHeight="1">
      <c r="A217" s="227">
        <v>3240</v>
      </c>
      <c r="B217" s="228" t="s">
        <v>204</v>
      </c>
      <c r="C217" s="84">
        <f>ROUND(VLOOKUP(A217,'Contribution Allocation_Report'!$A$9:$D$314,4,FALSE)*'OPEB Amounts_Report'!$C$326,0)</f>
        <v>3231190</v>
      </c>
      <c r="D217" s="84">
        <f>ROUND(VLOOKUP(A217,'Contribution Allocation_Report'!$A$9:$D$314,4,FALSE)*'OPEB Amounts_Report'!$D$326,0)</f>
        <v>34629</v>
      </c>
      <c r="E217" s="84">
        <f>ROUND(VLOOKUP(A217,'Contribution Allocation_Report'!$A$9:$D$314,4,FALSE)*'OPEB Amounts_Report'!$E$326,0)</f>
        <v>28884</v>
      </c>
      <c r="F217" s="84">
        <f>ROUND(VLOOKUP(A217,'Contribution Allocation_Report'!$A$9:$D$314,4,FALSE)*'OPEB Amounts_Report'!$F$326,0)</f>
        <v>604637</v>
      </c>
      <c r="G217" s="84">
        <f>INDEX('Change in Proportion Layers'!$AF$8:$AF$324,MATCH('OPEB Amounts_Report'!A217,'Change in Proportion Layers'!$A$8:$A$324,0))</f>
        <v>629810</v>
      </c>
      <c r="H217" s="84">
        <f t="shared" si="15"/>
        <v>1297960</v>
      </c>
      <c r="I217" s="84"/>
      <c r="J217" s="84">
        <f>ROUND(VLOOKUP(A217,'Contribution Allocation_Report'!$A$9:$D$314,4,FALSE)*'OPEB Amounts_Report'!$J$326,0)</f>
        <v>337512</v>
      </c>
      <c r="K217" s="84">
        <f>ROUND(VLOOKUP(A217,'Contribution Allocation_Report'!$A$9:$D$314,4,FALSE)*'OPEB Amounts_Report'!$K$326,0)</f>
        <v>2049017</v>
      </c>
      <c r="L217" s="84">
        <f>INDEX('Change in Proportion Layers'!$AG$8:$AG$324,MATCH('OPEB Amounts_Report'!A217,'Change in Proportion Layers'!$A$8:$A$324,0))</f>
        <v>1065893</v>
      </c>
      <c r="M217" s="84">
        <f t="shared" si="13"/>
        <v>3452422</v>
      </c>
      <c r="N217" s="85"/>
      <c r="O217" s="85">
        <f>ROUND(VLOOKUP(A217,'Contribution Allocation_Report'!$A$9:$D$314,4,FALSE)*'OPEB Amounts_Report'!$O$326,0)</f>
        <v>-657730</v>
      </c>
      <c r="P217" s="85">
        <f>INDEX('Change in Proportion Layers'!$AD$8:$AD$324,MATCH('OPEB Amounts_Report'!A217,'Change in Proportion Layers'!$A$8:$A$324,0))</f>
        <v>-253873</v>
      </c>
      <c r="Q217" s="85">
        <f t="shared" si="14"/>
        <v>-911603</v>
      </c>
    </row>
    <row r="218" spans="1:17" ht="12" customHeight="1">
      <c r="A218" s="59">
        <v>12326</v>
      </c>
      <c r="B218" s="63" t="s">
        <v>205</v>
      </c>
      <c r="C218" s="67">
        <f>ROUND(VLOOKUP(A218,'Contribution Allocation_Report'!$A$9:$D$314,4,FALSE)*'OPEB Amounts_Report'!$C$326,0)</f>
        <v>290449</v>
      </c>
      <c r="D218" s="67">
        <f>ROUND(VLOOKUP(A218,'Contribution Allocation_Report'!$A$9:$D$314,4,FALSE)*'OPEB Amounts_Report'!$D$326,0)</f>
        <v>3113</v>
      </c>
      <c r="E218" s="67">
        <f>ROUND(VLOOKUP(A218,'Contribution Allocation_Report'!$A$9:$D$314,4,FALSE)*'OPEB Amounts_Report'!$E$326,0)</f>
        <v>2596</v>
      </c>
      <c r="F218" s="67">
        <f>ROUND(VLOOKUP(A218,'Contribution Allocation_Report'!$A$9:$D$314,4,FALSE)*'OPEB Amounts_Report'!$F$326,0)</f>
        <v>54350</v>
      </c>
      <c r="G218" s="67">
        <f>INDEX('Change in Proportion Layers'!$AF$8:$AF$324,MATCH('OPEB Amounts_Report'!A218,'Change in Proportion Layers'!$A$8:$A$324,0))</f>
        <v>150265</v>
      </c>
      <c r="H218" s="67">
        <f t="shared" si="15"/>
        <v>210324</v>
      </c>
      <c r="I218" s="67"/>
      <c r="J218" s="67">
        <f>ROUND(VLOOKUP(A218,'Contribution Allocation_Report'!$A$9:$D$314,4,FALSE)*'OPEB Amounts_Report'!$J$326,0)</f>
        <v>30339</v>
      </c>
      <c r="K218" s="67">
        <f>ROUND(VLOOKUP(A218,'Contribution Allocation_Report'!$A$9:$D$314,4,FALSE)*'OPEB Amounts_Report'!$K$326,0)</f>
        <v>184184</v>
      </c>
      <c r="L218" s="250">
        <f>INDEX('Change in Proportion Layers'!$AG$8:$AG$324,MATCH('OPEB Amounts_Report'!A218,'Change in Proportion Layers'!$A$8:$A$324,0))</f>
        <v>12028</v>
      </c>
      <c r="M218" s="67">
        <f t="shared" si="13"/>
        <v>226551</v>
      </c>
      <c r="N218" s="68"/>
      <c r="O218" s="68">
        <f>ROUND(VLOOKUP(A218,'Contribution Allocation_Report'!$A$9:$D$314,4,FALSE)*'OPEB Amounts_Report'!$O$326,0)</f>
        <v>-59123</v>
      </c>
      <c r="P218" s="68">
        <f>INDEX('Change in Proportion Layers'!$AD$8:$AD$324,MATCH('OPEB Amounts_Report'!A218,'Change in Proportion Layers'!$A$8:$A$324,0))</f>
        <v>41248</v>
      </c>
      <c r="Q218" s="68">
        <f t="shared" si="14"/>
        <v>-17875</v>
      </c>
    </row>
    <row r="219" spans="1:17" ht="12" customHeight="1">
      <c r="A219" s="227">
        <v>2445</v>
      </c>
      <c r="B219" s="228" t="s">
        <v>446</v>
      </c>
      <c r="C219" s="84">
        <f>ROUND(VLOOKUP(A219,'Contribution Allocation_Report'!$A$9:$D$314,4,FALSE)*'OPEB Amounts_Report'!$C$326,0)</f>
        <v>270283</v>
      </c>
      <c r="D219" s="84">
        <f>ROUND(VLOOKUP(A219,'Contribution Allocation_Report'!$A$9:$D$314,4,FALSE)*'OPEB Amounts_Report'!$D$326,0)</f>
        <v>2897</v>
      </c>
      <c r="E219" s="84">
        <f>ROUND(VLOOKUP(A219,'Contribution Allocation_Report'!$A$9:$D$314,4,FALSE)*'OPEB Amounts_Report'!$E$326,0)</f>
        <v>2416</v>
      </c>
      <c r="F219" s="84">
        <f>ROUND(VLOOKUP(A219,'Contribution Allocation_Report'!$A$9:$D$314,4,FALSE)*'OPEB Amounts_Report'!$F$326,0)</f>
        <v>50577</v>
      </c>
      <c r="G219" s="84">
        <f>INDEX('Change in Proportion Layers'!$AF$8:$AF$324,MATCH('OPEB Amounts_Report'!A219,'Change in Proportion Layers'!$A$8:$A$324,0))</f>
        <v>377984</v>
      </c>
      <c r="H219" s="84">
        <f t="shared" si="15"/>
        <v>433874</v>
      </c>
      <c r="I219" s="84"/>
      <c r="J219" s="84">
        <f>ROUND(VLOOKUP(A219,'Contribution Allocation_Report'!$A$9:$D$314,4,FALSE)*'OPEB Amounts_Report'!$J$326,0)</f>
        <v>28232</v>
      </c>
      <c r="K219" s="84">
        <f>ROUND(VLOOKUP(A219,'Contribution Allocation_Report'!$A$9:$D$314,4,FALSE)*'OPEB Amounts_Report'!$K$326,0)</f>
        <v>171396</v>
      </c>
      <c r="L219" s="84">
        <f>INDEX('Change in Proportion Layers'!$AG$8:$AG$324,MATCH('OPEB Amounts_Report'!A219,'Change in Proportion Layers'!$A$8:$A$324,0))</f>
        <v>0</v>
      </c>
      <c r="M219" s="84">
        <f t="shared" si="13"/>
        <v>199628</v>
      </c>
      <c r="N219" s="85"/>
      <c r="O219" s="85">
        <f>ROUND(VLOOKUP(A219,'Contribution Allocation_Report'!$A$9:$D$314,4,FALSE)*'OPEB Amounts_Report'!$O$326,0)</f>
        <v>-55018</v>
      </c>
      <c r="P219" s="85">
        <f>INDEX('Change in Proportion Layers'!$AD$8:$AD$324,MATCH('OPEB Amounts_Report'!A219,'Change in Proportion Layers'!$A$8:$A$324,0))</f>
        <v>95432</v>
      </c>
      <c r="Q219" s="85">
        <f t="shared" si="14"/>
        <v>40414</v>
      </c>
    </row>
    <row r="220" spans="1:17" ht="12" customHeight="1">
      <c r="A220" s="59">
        <v>29123</v>
      </c>
      <c r="B220" s="63" t="s">
        <v>206</v>
      </c>
      <c r="C220" s="67">
        <f>ROUND(VLOOKUP(A220,'Contribution Allocation_Report'!$A$9:$D$314,4,FALSE)*'OPEB Amounts_Report'!$C$326,0)</f>
        <v>40697162</v>
      </c>
      <c r="D220" s="67">
        <f>ROUND(VLOOKUP(A220,'Contribution Allocation_Report'!$A$9:$D$314,4,FALSE)*'OPEB Amounts_Report'!$D$326,0)</f>
        <v>436153</v>
      </c>
      <c r="E220" s="67">
        <f>ROUND(VLOOKUP(A220,'Contribution Allocation_Report'!$A$9:$D$314,4,FALSE)*'OPEB Amounts_Report'!$E$326,0)</f>
        <v>363793</v>
      </c>
      <c r="F220" s="67">
        <f>ROUND(VLOOKUP(A220,'Contribution Allocation_Report'!$A$9:$D$314,4,FALSE)*'OPEB Amounts_Report'!$F$326,0)</f>
        <v>7615459</v>
      </c>
      <c r="G220" s="67">
        <f>INDEX('Change in Proportion Layers'!$AF$8:$AF$324,MATCH('OPEB Amounts_Report'!A220,'Change in Proportion Layers'!$A$8:$A$324,0))</f>
        <v>6753621</v>
      </c>
      <c r="H220" s="67">
        <f t="shared" si="15"/>
        <v>15169026</v>
      </c>
      <c r="I220" s="67"/>
      <c r="J220" s="67">
        <f>ROUND(VLOOKUP(A220,'Contribution Allocation_Report'!$A$9:$D$314,4,FALSE)*'OPEB Amounts_Report'!$J$326,0)</f>
        <v>4250997</v>
      </c>
      <c r="K220" s="67">
        <f>ROUND(VLOOKUP(A220,'Contribution Allocation_Report'!$A$9:$D$314,4,FALSE)*'OPEB Amounts_Report'!$K$326,0)</f>
        <v>25807575</v>
      </c>
      <c r="L220" s="250">
        <f>INDEX('Change in Proportion Layers'!$AG$8:$AG$324,MATCH('OPEB Amounts_Report'!A220,'Change in Proportion Layers'!$A$8:$A$324,0))</f>
        <v>3272833</v>
      </c>
      <c r="M220" s="67">
        <f t="shared" si="13"/>
        <v>33331405</v>
      </c>
      <c r="N220" s="68"/>
      <c r="O220" s="68">
        <f>ROUND(VLOOKUP(A220,'Contribution Allocation_Report'!$A$9:$D$314,4,FALSE)*'OPEB Amounts_Report'!$O$326,0)</f>
        <v>-8284178</v>
      </c>
      <c r="P220" s="68">
        <f>INDEX('Change in Proportion Layers'!$AD$8:$AD$324,MATCH('OPEB Amounts_Report'!A220,'Change in Proportion Layers'!$A$8:$A$324,0))</f>
        <v>1825866</v>
      </c>
      <c r="Q220" s="68">
        <f t="shared" si="14"/>
        <v>-6458312</v>
      </c>
    </row>
    <row r="221" spans="1:17" ht="12" customHeight="1">
      <c r="A221" s="227">
        <v>2318</v>
      </c>
      <c r="B221" s="228" t="s">
        <v>207</v>
      </c>
      <c r="C221" s="84">
        <f>ROUND(VLOOKUP(A221,'Contribution Allocation_Report'!$A$9:$D$314,4,FALSE)*'OPEB Amounts_Report'!$C$326,0)</f>
        <v>860990</v>
      </c>
      <c r="D221" s="84">
        <f>ROUND(VLOOKUP(A221,'Contribution Allocation_Report'!$A$9:$D$314,4,FALSE)*'OPEB Amounts_Report'!$D$326,0)</f>
        <v>9227</v>
      </c>
      <c r="E221" s="84">
        <f>ROUND(VLOOKUP(A221,'Contribution Allocation_Report'!$A$9:$D$314,4,FALSE)*'OPEB Amounts_Report'!$E$326,0)</f>
        <v>7696</v>
      </c>
      <c r="F221" s="84">
        <f>ROUND(VLOOKUP(A221,'Contribution Allocation_Report'!$A$9:$D$314,4,FALSE)*'OPEB Amounts_Report'!$F$326,0)</f>
        <v>161113</v>
      </c>
      <c r="G221" s="251">
        <f>INDEX('Change in Proportion Layers'!$AF$8:$AF$324,MATCH('OPEB Amounts_Report'!A221,'Change in Proportion Layers'!$A$8:$A$324,0))</f>
        <v>287192</v>
      </c>
      <c r="H221" s="84">
        <f t="shared" si="15"/>
        <v>465228</v>
      </c>
      <c r="I221" s="84"/>
      <c r="J221" s="84">
        <f>ROUND(VLOOKUP(A221,'Contribution Allocation_Report'!$A$9:$D$314,4,FALSE)*'OPEB Amounts_Report'!$J$326,0)</f>
        <v>89934</v>
      </c>
      <c r="K221" s="84">
        <f>ROUND(VLOOKUP(A221,'Contribution Allocation_Report'!$A$9:$D$314,4,FALSE)*'OPEB Amounts_Report'!$K$326,0)</f>
        <v>545986</v>
      </c>
      <c r="L221" s="84">
        <f>INDEX('Change in Proportion Layers'!$AG$8:$AG$324,MATCH('OPEB Amounts_Report'!A221,'Change in Proportion Layers'!$A$8:$A$324,0))</f>
        <v>339842</v>
      </c>
      <c r="M221" s="84">
        <f t="shared" si="13"/>
        <v>975762</v>
      </c>
      <c r="N221" s="85"/>
      <c r="O221" s="85">
        <f>ROUND(VLOOKUP(A221,'Contribution Allocation_Report'!$A$9:$D$314,4,FALSE)*'OPEB Amounts_Report'!$O$326,0)</f>
        <v>-175260</v>
      </c>
      <c r="P221" s="85">
        <f>INDEX('Change in Proportion Layers'!$AD$8:$AD$324,MATCH('OPEB Amounts_Report'!A221,'Change in Proportion Layers'!$A$8:$A$324,0))</f>
        <v>22872</v>
      </c>
      <c r="Q221" s="85">
        <f t="shared" si="14"/>
        <v>-152388</v>
      </c>
    </row>
    <row r="222" spans="1:17" ht="12" customHeight="1">
      <c r="A222" s="59">
        <v>3250</v>
      </c>
      <c r="B222" s="63" t="s">
        <v>208</v>
      </c>
      <c r="C222" s="67">
        <f>ROUND(VLOOKUP(A222,'Contribution Allocation_Report'!$A$9:$D$314,4,FALSE)*'OPEB Amounts_Report'!$C$326,0)</f>
        <v>1131091</v>
      </c>
      <c r="D222" s="67">
        <f>ROUND(VLOOKUP(A222,'Contribution Allocation_Report'!$A$9:$D$314,4,FALSE)*'OPEB Amounts_Report'!$D$326,0)</f>
        <v>12122</v>
      </c>
      <c r="E222" s="67">
        <f>ROUND(VLOOKUP(A222,'Contribution Allocation_Report'!$A$9:$D$314,4,FALSE)*'OPEB Amounts_Report'!$E$326,0)</f>
        <v>10111</v>
      </c>
      <c r="F222" s="67">
        <f>ROUND(VLOOKUP(A222,'Contribution Allocation_Report'!$A$9:$D$314,4,FALSE)*'OPEB Amounts_Report'!$F$326,0)</f>
        <v>211655</v>
      </c>
      <c r="G222" s="67">
        <f>INDEX('Change in Proportion Layers'!$AF$8:$AF$324,MATCH('OPEB Amounts_Report'!A222,'Change in Proportion Layers'!$A$8:$A$324,0))</f>
        <v>45307</v>
      </c>
      <c r="H222" s="67">
        <f t="shared" si="15"/>
        <v>279195</v>
      </c>
      <c r="I222" s="67"/>
      <c r="J222" s="67">
        <f>ROUND(VLOOKUP(A222,'Contribution Allocation_Report'!$A$9:$D$314,4,FALSE)*'OPEB Amounts_Report'!$J$326,0)</f>
        <v>118147</v>
      </c>
      <c r="K222" s="67">
        <f>ROUND(VLOOKUP(A222,'Contribution Allocation_Report'!$A$9:$D$314,4,FALSE)*'OPEB Amounts_Report'!$K$326,0)</f>
        <v>717267</v>
      </c>
      <c r="L222" s="250">
        <f>INDEX('Change in Proportion Layers'!$AG$8:$AG$324,MATCH('OPEB Amounts_Report'!A222,'Change in Proportion Layers'!$A$8:$A$324,0))</f>
        <v>255078</v>
      </c>
      <c r="M222" s="67">
        <f t="shared" si="13"/>
        <v>1090492</v>
      </c>
      <c r="N222" s="68"/>
      <c r="O222" s="68">
        <f>ROUND(VLOOKUP(A222,'Contribution Allocation_Report'!$A$9:$D$314,4,FALSE)*'OPEB Amounts_Report'!$O$326,0)</f>
        <v>-230241</v>
      </c>
      <c r="P222" s="68">
        <f>INDEX('Change in Proportion Layers'!$AD$8:$AD$324,MATCH('OPEB Amounts_Report'!A222,'Change in Proportion Layers'!$A$8:$A$324,0))</f>
        <v>-91658</v>
      </c>
      <c r="Q222" s="68">
        <f t="shared" si="14"/>
        <v>-321899</v>
      </c>
    </row>
    <row r="223" spans="1:17" ht="12" customHeight="1">
      <c r="A223" s="227">
        <v>2313</v>
      </c>
      <c r="B223" s="228" t="s">
        <v>209</v>
      </c>
      <c r="C223" s="84">
        <f>ROUND(VLOOKUP(A223,'Contribution Allocation_Report'!$A$9:$D$314,4,FALSE)*'OPEB Amounts_Report'!$C$326,0)</f>
        <v>163078</v>
      </c>
      <c r="D223" s="84">
        <f>ROUND(VLOOKUP(A223,'Contribution Allocation_Report'!$A$9:$D$314,4,FALSE)*'OPEB Amounts_Report'!$D$326,0)</f>
        <v>1748</v>
      </c>
      <c r="E223" s="84">
        <f>ROUND(VLOOKUP(A223,'Contribution Allocation_Report'!$A$9:$D$314,4,FALSE)*'OPEB Amounts_Report'!$E$326,0)</f>
        <v>1458</v>
      </c>
      <c r="F223" s="84">
        <f>ROUND(VLOOKUP(A223,'Contribution Allocation_Report'!$A$9:$D$314,4,FALSE)*'OPEB Amounts_Report'!$F$326,0)</f>
        <v>30516</v>
      </c>
      <c r="G223" s="251">
        <f>INDEX('Change in Proportion Layers'!$AF$8:$AF$324,MATCH('OPEB Amounts_Report'!A223,'Change in Proportion Layers'!$A$8:$A$324,0))</f>
        <v>55486</v>
      </c>
      <c r="H223" s="84">
        <f t="shared" si="15"/>
        <v>89208</v>
      </c>
      <c r="I223" s="84"/>
      <c r="J223" s="84">
        <f>ROUND(VLOOKUP(A223,'Contribution Allocation_Report'!$A$9:$D$314,4,FALSE)*'OPEB Amounts_Report'!$J$326,0)</f>
        <v>17034</v>
      </c>
      <c r="K223" s="84">
        <f>ROUND(VLOOKUP(A223,'Contribution Allocation_Report'!$A$9:$D$314,4,FALSE)*'OPEB Amounts_Report'!$K$326,0)</f>
        <v>103414</v>
      </c>
      <c r="L223" s="84">
        <f>INDEX('Change in Proportion Layers'!$AG$8:$AG$324,MATCH('OPEB Amounts_Report'!A223,'Change in Proportion Layers'!$A$8:$A$324,0))</f>
        <v>1095</v>
      </c>
      <c r="M223" s="84">
        <f t="shared" si="13"/>
        <v>121543</v>
      </c>
      <c r="N223" s="85"/>
      <c r="O223" s="85">
        <f>ROUND(VLOOKUP(A223,'Contribution Allocation_Report'!$A$9:$D$314,4,FALSE)*'OPEB Amounts_Report'!$O$326,0)</f>
        <v>-33196</v>
      </c>
      <c r="P223" s="85">
        <f>INDEX('Change in Proportion Layers'!$AD$8:$AD$324,MATCH('OPEB Amounts_Report'!A223,'Change in Proportion Layers'!$A$8:$A$324,0))</f>
        <v>14707</v>
      </c>
      <c r="Q223" s="85">
        <f t="shared" si="14"/>
        <v>-18489</v>
      </c>
    </row>
    <row r="224" spans="1:17" ht="12" customHeight="1">
      <c r="A224" s="59">
        <v>4011</v>
      </c>
      <c r="B224" s="63" t="s">
        <v>210</v>
      </c>
      <c r="C224" s="67">
        <f>ROUND(VLOOKUP(A224,'Contribution Allocation_Report'!$A$9:$D$314,4,FALSE)*'OPEB Amounts_Report'!$C$326,0)</f>
        <v>23259095</v>
      </c>
      <c r="D224" s="67">
        <f>ROUND(VLOOKUP(A224,'Contribution Allocation_Report'!$A$9:$D$314,4,FALSE)*'OPEB Amounts_Report'!$D$326,0)</f>
        <v>249269</v>
      </c>
      <c r="E224" s="67">
        <f>ROUND(VLOOKUP(A224,'Contribution Allocation_Report'!$A$9:$D$314,4,FALSE)*'OPEB Amounts_Report'!$E$326,0)</f>
        <v>207914</v>
      </c>
      <c r="F224" s="67">
        <f>ROUND(VLOOKUP(A224,'Contribution Allocation_Report'!$A$9:$D$314,4,FALSE)*'OPEB Amounts_Report'!$F$326,0)</f>
        <v>4352359</v>
      </c>
      <c r="G224" s="67">
        <f>INDEX('Change in Proportion Layers'!$AF$8:$AF$324,MATCH('OPEB Amounts_Report'!A224,'Change in Proportion Layers'!$A$8:$A$324,0))</f>
        <v>2332280</v>
      </c>
      <c r="H224" s="67">
        <f t="shared" si="15"/>
        <v>7141822</v>
      </c>
      <c r="I224" s="67"/>
      <c r="J224" s="67">
        <f>ROUND(VLOOKUP(A224,'Contribution Allocation_Report'!$A$9:$D$314,4,FALSE)*'OPEB Amounts_Report'!$J$326,0)</f>
        <v>2429514</v>
      </c>
      <c r="K224" s="67">
        <f>ROUND(VLOOKUP(A224,'Contribution Allocation_Report'!$A$9:$D$314,4,FALSE)*'OPEB Amounts_Report'!$K$326,0)</f>
        <v>14749452</v>
      </c>
      <c r="L224" s="250">
        <f>INDEX('Change in Proportion Layers'!$AG$8:$AG$324,MATCH('OPEB Amounts_Report'!A224,'Change in Proportion Layers'!$A$8:$A$324,0))</f>
        <v>966092</v>
      </c>
      <c r="M224" s="67">
        <f t="shared" si="13"/>
        <v>18145058</v>
      </c>
      <c r="N224" s="68"/>
      <c r="O224" s="68">
        <f>ROUND(VLOOKUP(A224,'Contribution Allocation_Report'!$A$9:$D$314,4,FALSE)*'OPEB Amounts_Report'!$O$326,0)</f>
        <v>-4734543</v>
      </c>
      <c r="P224" s="68">
        <f>INDEX('Change in Proportion Layers'!$AD$8:$AD$324,MATCH('OPEB Amounts_Report'!A224,'Change in Proportion Layers'!$A$8:$A$324,0))</f>
        <v>1283587</v>
      </c>
      <c r="Q224" s="68">
        <f t="shared" si="14"/>
        <v>-3450956</v>
      </c>
    </row>
    <row r="225" spans="1:17" ht="12" customHeight="1">
      <c r="A225" s="227">
        <v>31092</v>
      </c>
      <c r="B225" s="228" t="s">
        <v>211</v>
      </c>
      <c r="C225" s="84">
        <f>ROUND(VLOOKUP(A225,'Contribution Allocation_Report'!$A$9:$D$314,4,FALSE)*'OPEB Amounts_Report'!$C$326,0)</f>
        <v>361120</v>
      </c>
      <c r="D225" s="84">
        <f>ROUND(VLOOKUP(A225,'Contribution Allocation_Report'!$A$9:$D$314,4,FALSE)*'OPEB Amounts_Report'!$D$326,0)</f>
        <v>3870</v>
      </c>
      <c r="E225" s="84">
        <f>ROUND(VLOOKUP(A225,'Contribution Allocation_Report'!$A$9:$D$314,4,FALSE)*'OPEB Amounts_Report'!$E$326,0)</f>
        <v>3228</v>
      </c>
      <c r="F225" s="84">
        <f>ROUND(VLOOKUP(A225,'Contribution Allocation_Report'!$A$9:$D$314,4,FALSE)*'OPEB Amounts_Report'!$F$326,0)</f>
        <v>67575</v>
      </c>
      <c r="G225" s="84">
        <f>INDEX('Change in Proportion Layers'!$AF$8:$AF$324,MATCH('OPEB Amounts_Report'!A225,'Change in Proportion Layers'!$A$8:$A$324,0))</f>
        <v>75432</v>
      </c>
      <c r="H225" s="84">
        <f t="shared" si="15"/>
        <v>150105</v>
      </c>
      <c r="I225" s="84"/>
      <c r="J225" s="84">
        <f>ROUND(VLOOKUP(A225,'Contribution Allocation_Report'!$A$9:$D$314,4,FALSE)*'OPEB Amounts_Report'!$J$326,0)</f>
        <v>37721</v>
      </c>
      <c r="K225" s="84">
        <f>ROUND(VLOOKUP(A225,'Contribution Allocation_Report'!$A$9:$D$314,4,FALSE)*'OPEB Amounts_Report'!$K$326,0)</f>
        <v>229000</v>
      </c>
      <c r="L225" s="84">
        <f>INDEX('Change in Proportion Layers'!$AG$8:$AG$324,MATCH('OPEB Amounts_Report'!A225,'Change in Proportion Layers'!$A$8:$A$324,0))</f>
        <v>68187</v>
      </c>
      <c r="M225" s="84">
        <f t="shared" si="13"/>
        <v>334908</v>
      </c>
      <c r="N225" s="85"/>
      <c r="O225" s="85">
        <f>ROUND(VLOOKUP(A225,'Contribution Allocation_Report'!$A$9:$D$314,4,FALSE)*'OPEB Amounts_Report'!$O$326,0)</f>
        <v>-73508</v>
      </c>
      <c r="P225" s="85">
        <f>INDEX('Change in Proportion Layers'!$AD$8:$AD$324,MATCH('OPEB Amounts_Report'!A225,'Change in Proportion Layers'!$A$8:$A$324,0))</f>
        <v>7894</v>
      </c>
      <c r="Q225" s="85">
        <f t="shared" si="14"/>
        <v>-65614</v>
      </c>
    </row>
    <row r="226" spans="1:17" ht="12" customHeight="1">
      <c r="A226" s="59">
        <v>26081</v>
      </c>
      <c r="B226" s="63" t="s">
        <v>212</v>
      </c>
      <c r="C226" s="67">
        <f>ROUND(VLOOKUP(A226,'Contribution Allocation_Report'!$A$9:$D$314,4,FALSE)*'OPEB Amounts_Report'!$C$326,0)</f>
        <v>4267170</v>
      </c>
      <c r="D226" s="67">
        <f>ROUND(VLOOKUP(A226,'Contribution Allocation_Report'!$A$9:$D$314,4,FALSE)*'OPEB Amounts_Report'!$D$326,0)</f>
        <v>45731</v>
      </c>
      <c r="E226" s="67">
        <f>ROUND(VLOOKUP(A226,'Contribution Allocation_Report'!$A$9:$D$314,4,FALSE)*'OPEB Amounts_Report'!$E$326,0)</f>
        <v>38144</v>
      </c>
      <c r="F226" s="67">
        <f>ROUND(VLOOKUP(A226,'Contribution Allocation_Report'!$A$9:$D$314,4,FALSE)*'OPEB Amounts_Report'!$F$326,0)</f>
        <v>798494</v>
      </c>
      <c r="G226" s="67">
        <f>INDEX('Change in Proportion Layers'!$AF$8:$AF$324,MATCH('OPEB Amounts_Report'!A226,'Change in Proportion Layers'!$A$8:$A$324,0))</f>
        <v>765961</v>
      </c>
      <c r="H226" s="67">
        <f t="shared" si="15"/>
        <v>1648330</v>
      </c>
      <c r="I226" s="67"/>
      <c r="J226" s="67">
        <f>ROUND(VLOOKUP(A226,'Contribution Allocation_Report'!$A$9:$D$314,4,FALSE)*'OPEB Amounts_Report'!$J$326,0)</f>
        <v>445725</v>
      </c>
      <c r="K226" s="67">
        <f>ROUND(VLOOKUP(A226,'Contribution Allocation_Report'!$A$9:$D$314,4,FALSE)*'OPEB Amounts_Report'!$K$326,0)</f>
        <v>2705970</v>
      </c>
      <c r="L226" s="67">
        <f>INDEX('Change in Proportion Layers'!$AG$8:$AG$324,MATCH('OPEB Amounts_Report'!A226,'Change in Proportion Layers'!$A$8:$A$324,0))</f>
        <v>427480</v>
      </c>
      <c r="M226" s="67">
        <f t="shared" si="13"/>
        <v>3579175</v>
      </c>
      <c r="N226" s="68"/>
      <c r="O226" s="68">
        <f>ROUND(VLOOKUP(A226,'Contribution Allocation_Report'!$A$9:$D$314,4,FALSE)*'OPEB Amounts_Report'!$O$326,0)</f>
        <v>-868611</v>
      </c>
      <c r="P226" s="68">
        <f>INDEX('Change in Proportion Layers'!$AD$8:$AD$324,MATCH('OPEB Amounts_Report'!A226,'Change in Proportion Layers'!$A$8:$A$324,0))</f>
        <v>64382</v>
      </c>
      <c r="Q226" s="68">
        <f t="shared" si="14"/>
        <v>-804229</v>
      </c>
    </row>
    <row r="227" spans="1:17" ht="12" customHeight="1">
      <c r="A227" s="227">
        <v>29305</v>
      </c>
      <c r="B227" s="228" t="s">
        <v>213</v>
      </c>
      <c r="C227" s="84">
        <f>ROUND(VLOOKUP(A227,'Contribution Allocation_Report'!$A$9:$D$314,4,FALSE)*'OPEB Amounts_Report'!$C$326,0)</f>
        <v>283400</v>
      </c>
      <c r="D227" s="84">
        <f>ROUND(VLOOKUP(A227,'Contribution Allocation_Report'!$A$9:$D$314,4,FALSE)*'OPEB Amounts_Report'!$D$326,0)</f>
        <v>3037</v>
      </c>
      <c r="E227" s="84">
        <f>ROUND(VLOOKUP(A227,'Contribution Allocation_Report'!$A$9:$D$314,4,FALSE)*'OPEB Amounts_Report'!$E$326,0)</f>
        <v>2533</v>
      </c>
      <c r="F227" s="84">
        <f>ROUND(VLOOKUP(A227,'Contribution Allocation_Report'!$A$9:$D$314,4,FALSE)*'OPEB Amounts_Report'!$F$326,0)</f>
        <v>53031</v>
      </c>
      <c r="G227" s="84">
        <f>INDEX('Change in Proportion Layers'!$AF$8:$AF$324,MATCH('OPEB Amounts_Report'!A227,'Change in Proportion Layers'!$A$8:$A$324,0))</f>
        <v>49547</v>
      </c>
      <c r="H227" s="84">
        <f t="shared" si="15"/>
        <v>108148</v>
      </c>
      <c r="I227" s="84"/>
      <c r="J227" s="84">
        <f>ROUND(VLOOKUP(A227,'Contribution Allocation_Report'!$A$9:$D$314,4,FALSE)*'OPEB Amounts_Report'!$J$326,0)</f>
        <v>29602</v>
      </c>
      <c r="K227" s="84">
        <f>ROUND(VLOOKUP(A227,'Contribution Allocation_Report'!$A$9:$D$314,4,FALSE)*'OPEB Amounts_Report'!$K$326,0)</f>
        <v>179714</v>
      </c>
      <c r="L227" s="84">
        <f>INDEX('Change in Proportion Layers'!$AG$8:$AG$324,MATCH('OPEB Amounts_Report'!A227,'Change in Proportion Layers'!$A$8:$A$324,0))</f>
        <v>111716</v>
      </c>
      <c r="M227" s="84">
        <f t="shared" si="13"/>
        <v>321032</v>
      </c>
      <c r="N227" s="85"/>
      <c r="O227" s="85">
        <f>ROUND(VLOOKUP(A227,'Contribution Allocation_Report'!$A$9:$D$314,4,FALSE)*'OPEB Amounts_Report'!$O$326,0)</f>
        <v>-57688</v>
      </c>
      <c r="P227" s="85">
        <f>INDEX('Change in Proportion Layers'!$AD$8:$AD$324,MATCH('OPEB Amounts_Report'!A227,'Change in Proportion Layers'!$A$8:$A$324,0))</f>
        <v>-14789</v>
      </c>
      <c r="Q227" s="85">
        <f t="shared" si="14"/>
        <v>-72477</v>
      </c>
    </row>
    <row r="228" spans="1:17" ht="12" customHeight="1">
      <c r="A228" s="59">
        <v>10032</v>
      </c>
      <c r="B228" s="63" t="s">
        <v>214</v>
      </c>
      <c r="C228" s="67">
        <f>ROUND(VLOOKUP(A228,'Contribution Allocation_Report'!$A$9:$D$314,4,FALSE)*'OPEB Amounts_Report'!$C$326,0)</f>
        <v>527687</v>
      </c>
      <c r="D228" s="67">
        <f>ROUND(VLOOKUP(A228,'Contribution Allocation_Report'!$A$9:$D$314,4,FALSE)*'OPEB Amounts_Report'!$D$326,0)</f>
        <v>5655</v>
      </c>
      <c r="E228" s="67">
        <f>ROUND(VLOOKUP(A228,'Contribution Allocation_Report'!$A$9:$D$314,4,FALSE)*'OPEB Amounts_Report'!$E$326,0)</f>
        <v>4717</v>
      </c>
      <c r="F228" s="67">
        <f>ROUND(VLOOKUP(A228,'Contribution Allocation_Report'!$A$9:$D$314,4,FALSE)*'OPEB Amounts_Report'!$F$326,0)</f>
        <v>98744</v>
      </c>
      <c r="G228" s="67">
        <f>INDEX('Change in Proportion Layers'!$AF$8:$AF$324,MATCH('OPEB Amounts_Report'!A228,'Change in Proportion Layers'!$A$8:$A$324,0))</f>
        <v>135259</v>
      </c>
      <c r="H228" s="67">
        <f t="shared" si="15"/>
        <v>244375</v>
      </c>
      <c r="I228" s="67"/>
      <c r="J228" s="67">
        <f>ROUND(VLOOKUP(A228,'Contribution Allocation_Report'!$A$9:$D$314,4,FALSE)*'OPEB Amounts_Report'!$J$326,0)</f>
        <v>55119</v>
      </c>
      <c r="K228" s="67">
        <f>ROUND(VLOOKUP(A228,'Contribution Allocation_Report'!$A$9:$D$314,4,FALSE)*'OPEB Amounts_Report'!$K$326,0)</f>
        <v>334626</v>
      </c>
      <c r="L228" s="67">
        <f>INDEX('Change in Proportion Layers'!$AG$8:$AG$324,MATCH('OPEB Amounts_Report'!A228,'Change in Proportion Layers'!$A$8:$A$324,0))</f>
        <v>50234</v>
      </c>
      <c r="M228" s="67">
        <f t="shared" si="13"/>
        <v>439979</v>
      </c>
      <c r="N228" s="68"/>
      <c r="O228" s="68">
        <f>ROUND(VLOOKUP(A228,'Contribution Allocation_Report'!$A$9:$D$314,4,FALSE)*'OPEB Amounts_Report'!$O$326,0)</f>
        <v>-107414</v>
      </c>
      <c r="P228" s="68">
        <f>INDEX('Change in Proportion Layers'!$AD$8:$AD$324,MATCH('OPEB Amounts_Report'!A228,'Change in Proportion Layers'!$A$8:$A$324,0))</f>
        <v>-9010</v>
      </c>
      <c r="Q228" s="68">
        <f t="shared" si="14"/>
        <v>-116424</v>
      </c>
    </row>
    <row r="229" spans="1:17" ht="12" customHeight="1">
      <c r="A229" s="227">
        <v>32107</v>
      </c>
      <c r="B229" s="228" t="s">
        <v>215</v>
      </c>
      <c r="C229" s="84">
        <f>ROUND(VLOOKUP(A229,'Contribution Allocation_Report'!$A$9:$D$314,4,FALSE)*'OPEB Amounts_Report'!$C$326,0)</f>
        <v>667895</v>
      </c>
      <c r="D229" s="84">
        <f>ROUND(VLOOKUP(A229,'Contribution Allocation_Report'!$A$9:$D$314,4,FALSE)*'OPEB Amounts_Report'!$D$326,0)</f>
        <v>7158</v>
      </c>
      <c r="E229" s="84">
        <f>ROUND(VLOOKUP(A229,'Contribution Allocation_Report'!$A$9:$D$314,4,FALSE)*'OPEB Amounts_Report'!$E$326,0)</f>
        <v>5970</v>
      </c>
      <c r="F229" s="84">
        <f>ROUND(VLOOKUP(A229,'Contribution Allocation_Report'!$A$9:$D$314,4,FALSE)*'OPEB Amounts_Report'!$F$326,0)</f>
        <v>124980</v>
      </c>
      <c r="G229" s="84">
        <f>INDEX('Change in Proportion Layers'!$AF$8:$AF$324,MATCH('OPEB Amounts_Report'!A229,'Change in Proportion Layers'!$A$8:$A$324,0))</f>
        <v>189119</v>
      </c>
      <c r="H229" s="84">
        <f t="shared" si="15"/>
        <v>327227</v>
      </c>
      <c r="I229" s="84"/>
      <c r="J229" s="84">
        <f>ROUND(VLOOKUP(A229,'Contribution Allocation_Report'!$A$9:$D$314,4,FALSE)*'OPEB Amounts_Report'!$J$326,0)</f>
        <v>69765</v>
      </c>
      <c r="K229" s="84">
        <f>ROUND(VLOOKUP(A229,'Contribution Allocation_Report'!$A$9:$D$314,4,FALSE)*'OPEB Amounts_Report'!$K$326,0)</f>
        <v>423537</v>
      </c>
      <c r="L229" s="251">
        <f>INDEX('Change in Proportion Layers'!$AG$8:$AG$324,MATCH('OPEB Amounts_Report'!A229,'Change in Proportion Layers'!$A$8:$A$324,0))</f>
        <v>128242</v>
      </c>
      <c r="M229" s="84">
        <f t="shared" si="13"/>
        <v>621544</v>
      </c>
      <c r="N229" s="85"/>
      <c r="O229" s="85">
        <f>ROUND(VLOOKUP(A229,'Contribution Allocation_Report'!$A$9:$D$314,4,FALSE)*'OPEB Amounts_Report'!$O$326,0)</f>
        <v>-135954</v>
      </c>
      <c r="P229" s="85">
        <f>INDEX('Change in Proportion Layers'!$AD$8:$AD$324,MATCH('OPEB Amounts_Report'!A229,'Change in Proportion Layers'!$A$8:$A$324,0))</f>
        <v>-80446</v>
      </c>
      <c r="Q229" s="85">
        <f t="shared" si="14"/>
        <v>-216400</v>
      </c>
    </row>
    <row r="230" spans="1:17" ht="12" customHeight="1">
      <c r="A230" s="59">
        <v>3260</v>
      </c>
      <c r="B230" s="63" t="s">
        <v>216</v>
      </c>
      <c r="C230" s="67">
        <f>ROUND(VLOOKUP(A230,'Contribution Allocation_Report'!$A$9:$D$314,4,FALSE)*'OPEB Amounts_Report'!$C$326,0)</f>
        <v>9356021</v>
      </c>
      <c r="D230" s="67">
        <f>ROUND(VLOOKUP(A230,'Contribution Allocation_Report'!$A$9:$D$314,4,FALSE)*'OPEB Amounts_Report'!$D$326,0)</f>
        <v>100269</v>
      </c>
      <c r="E230" s="67">
        <f>ROUND(VLOOKUP(A230,'Contribution Allocation_Report'!$A$9:$D$314,4,FALSE)*'OPEB Amounts_Report'!$E$326,0)</f>
        <v>83634</v>
      </c>
      <c r="F230" s="67">
        <f>ROUND(VLOOKUP(A230,'Contribution Allocation_Report'!$A$9:$D$314,4,FALSE)*'OPEB Amounts_Report'!$F$326,0)</f>
        <v>1750746</v>
      </c>
      <c r="G230" s="67">
        <f>INDEX('Change in Proportion Layers'!$AF$8:$AF$324,MATCH('OPEB Amounts_Report'!A230,'Change in Proportion Layers'!$A$8:$A$324,0))</f>
        <v>0</v>
      </c>
      <c r="H230" s="67">
        <f t="shared" si="15"/>
        <v>1934649</v>
      </c>
      <c r="I230" s="67"/>
      <c r="J230" s="67">
        <f>ROUND(VLOOKUP(A230,'Contribution Allocation_Report'!$A$9:$D$314,4,FALSE)*'OPEB Amounts_Report'!$J$326,0)</f>
        <v>977277</v>
      </c>
      <c r="K230" s="67">
        <f>ROUND(VLOOKUP(A230,'Contribution Allocation_Report'!$A$9:$D$314,4,FALSE)*'OPEB Amounts_Report'!$K$326,0)</f>
        <v>5932999</v>
      </c>
      <c r="L230" s="250">
        <f>INDEX('Change in Proportion Layers'!$AG$8:$AG$324,MATCH('OPEB Amounts_Report'!A230,'Change in Proportion Layers'!$A$8:$A$324,0))</f>
        <v>2575167</v>
      </c>
      <c r="M230" s="67">
        <f t="shared" si="13"/>
        <v>9485443</v>
      </c>
      <c r="N230" s="68"/>
      <c r="O230" s="68">
        <f>ROUND(VLOOKUP(A230,'Contribution Allocation_Report'!$A$9:$D$314,4,FALSE)*'OPEB Amounts_Report'!$O$326,0)</f>
        <v>-1904480</v>
      </c>
      <c r="P230" s="68">
        <f>INDEX('Change in Proportion Layers'!$AD$8:$AD$324,MATCH('OPEB Amounts_Report'!A230,'Change in Proportion Layers'!$A$8:$A$324,0))</f>
        <v>-1606449</v>
      </c>
      <c r="Q230" s="68">
        <f t="shared" si="14"/>
        <v>-3510929</v>
      </c>
    </row>
    <row r="231" spans="1:17" ht="12" customHeight="1">
      <c r="A231" s="227">
        <v>4390</v>
      </c>
      <c r="B231" s="228" t="s">
        <v>217</v>
      </c>
      <c r="C231" s="84">
        <f>ROUND(VLOOKUP(A231,'Contribution Allocation_Report'!$A$9:$D$314,4,FALSE)*'OPEB Amounts_Report'!$C$326,0)</f>
        <v>101530</v>
      </c>
      <c r="D231" s="84">
        <f>ROUND(VLOOKUP(A231,'Contribution Allocation_Report'!$A$9:$D$314,4,FALSE)*'OPEB Amounts_Report'!$D$326,0)</f>
        <v>1088</v>
      </c>
      <c r="E231" s="84">
        <f>ROUND(VLOOKUP(A231,'Contribution Allocation_Report'!$A$9:$D$314,4,FALSE)*'OPEB Amounts_Report'!$E$326,0)</f>
        <v>908</v>
      </c>
      <c r="F231" s="84">
        <f>ROUND(VLOOKUP(A231,'Contribution Allocation_Report'!$A$9:$D$314,4,FALSE)*'OPEB Amounts_Report'!$F$326,0)</f>
        <v>18999</v>
      </c>
      <c r="G231" s="84">
        <f>INDEX('Change in Proportion Layers'!$AF$8:$AF$324,MATCH('OPEB Amounts_Report'!A231,'Change in Proportion Layers'!$A$8:$A$324,0))</f>
        <v>42183</v>
      </c>
      <c r="H231" s="84">
        <f t="shared" si="15"/>
        <v>63178</v>
      </c>
      <c r="I231" s="84"/>
      <c r="J231" s="84">
        <f>ROUND(VLOOKUP(A231,'Contribution Allocation_Report'!$A$9:$D$314,4,FALSE)*'OPEB Amounts_Report'!$J$326,0)</f>
        <v>10605</v>
      </c>
      <c r="K231" s="84">
        <f>ROUND(VLOOKUP(A231,'Contribution Allocation_Report'!$A$9:$D$314,4,FALSE)*'OPEB Amounts_Report'!$K$326,0)</f>
        <v>64384</v>
      </c>
      <c r="L231" s="84">
        <f>INDEX('Change in Proportion Layers'!$AG$8:$AG$324,MATCH('OPEB Amounts_Report'!A231,'Change in Proportion Layers'!$A$8:$A$324,0))</f>
        <v>42403</v>
      </c>
      <c r="M231" s="84">
        <f t="shared" si="13"/>
        <v>117392</v>
      </c>
      <c r="N231" s="85"/>
      <c r="O231" s="85">
        <f>ROUND(VLOOKUP(A231,'Contribution Allocation_Report'!$A$9:$D$314,4,FALSE)*'OPEB Amounts_Report'!$O$326,0)</f>
        <v>-20667</v>
      </c>
      <c r="P231" s="85">
        <f>INDEX('Change in Proportion Layers'!$AD$8:$AD$324,MATCH('OPEB Amounts_Report'!A231,'Change in Proportion Layers'!$A$8:$A$324,0))</f>
        <v>-620</v>
      </c>
      <c r="Q231" s="85">
        <f t="shared" si="14"/>
        <v>-21287</v>
      </c>
    </row>
    <row r="232" spans="1:17" ht="12" customHeight="1">
      <c r="A232" s="59">
        <v>3270</v>
      </c>
      <c r="B232" s="63" t="s">
        <v>218</v>
      </c>
      <c r="C232" s="67">
        <f>ROUND(VLOOKUP(A232,'Contribution Allocation_Report'!$A$9:$D$314,4,FALSE)*'OPEB Amounts_Report'!$C$326,0)</f>
        <v>1422857</v>
      </c>
      <c r="D232" s="67">
        <f>ROUND(VLOOKUP(A232,'Contribution Allocation_Report'!$A$9:$D$314,4,FALSE)*'OPEB Amounts_Report'!$D$326,0)</f>
        <v>15249</v>
      </c>
      <c r="E232" s="67">
        <f>ROUND(VLOOKUP(A232,'Contribution Allocation_Report'!$A$9:$D$314,4,FALSE)*'OPEB Amounts_Report'!$E$326,0)</f>
        <v>12719</v>
      </c>
      <c r="F232" s="67">
        <f>ROUND(VLOOKUP(A232,'Contribution Allocation_Report'!$A$9:$D$314,4,FALSE)*'OPEB Amounts_Report'!$F$326,0)</f>
        <v>266252</v>
      </c>
      <c r="G232" s="67">
        <f>INDEX('Change in Proportion Layers'!$AF$8:$AF$324,MATCH('OPEB Amounts_Report'!A232,'Change in Proportion Layers'!$A$8:$A$324,0))</f>
        <v>161040</v>
      </c>
      <c r="H232" s="67">
        <f t="shared" si="15"/>
        <v>455260</v>
      </c>
      <c r="I232" s="67"/>
      <c r="J232" s="67">
        <f>ROUND(VLOOKUP(A232,'Contribution Allocation_Report'!$A$9:$D$314,4,FALSE)*'OPEB Amounts_Report'!$J$326,0)</f>
        <v>148624</v>
      </c>
      <c r="K232" s="67">
        <f>ROUND(VLOOKUP(A232,'Contribution Allocation_Report'!$A$9:$D$314,4,FALSE)*'OPEB Amounts_Report'!$K$326,0)</f>
        <v>902286</v>
      </c>
      <c r="L232" s="67">
        <f>INDEX('Change in Proportion Layers'!$AG$8:$AG$324,MATCH('OPEB Amounts_Report'!A232,'Change in Proportion Layers'!$A$8:$A$324,0))</f>
        <v>428271</v>
      </c>
      <c r="M232" s="67">
        <f t="shared" si="13"/>
        <v>1479181</v>
      </c>
      <c r="N232" s="68"/>
      <c r="O232" s="68">
        <f>ROUND(VLOOKUP(A232,'Contribution Allocation_Report'!$A$9:$D$314,4,FALSE)*'OPEB Amounts_Report'!$O$326,0)</f>
        <v>-289632</v>
      </c>
      <c r="P232" s="68">
        <f>INDEX('Change in Proportion Layers'!$AD$8:$AD$324,MATCH('OPEB Amounts_Report'!A232,'Change in Proportion Layers'!$A$8:$A$324,0))</f>
        <v>-106915</v>
      </c>
      <c r="Q232" s="68">
        <f t="shared" si="14"/>
        <v>-396547</v>
      </c>
    </row>
    <row r="233" spans="1:17" ht="12" customHeight="1">
      <c r="A233" s="227">
        <v>29303</v>
      </c>
      <c r="B233" s="228" t="s">
        <v>219</v>
      </c>
      <c r="C233" s="84">
        <f>ROUND(VLOOKUP(A233,'Contribution Allocation_Report'!$A$9:$D$314,4,FALSE)*'OPEB Amounts_Report'!$C$326,0)</f>
        <v>508461</v>
      </c>
      <c r="D233" s="84">
        <f>ROUND(VLOOKUP(A233,'Contribution Allocation_Report'!$A$9:$D$314,4,FALSE)*'OPEB Amounts_Report'!$D$326,0)</f>
        <v>5449</v>
      </c>
      <c r="E233" s="84">
        <f>ROUND(VLOOKUP(A233,'Contribution Allocation_Report'!$A$9:$D$314,4,FALSE)*'OPEB Amounts_Report'!$E$326,0)</f>
        <v>4545</v>
      </c>
      <c r="F233" s="84">
        <f>ROUND(VLOOKUP(A233,'Contribution Allocation_Report'!$A$9:$D$314,4,FALSE)*'OPEB Amounts_Report'!$F$326,0)</f>
        <v>95146</v>
      </c>
      <c r="G233" s="84">
        <f>INDEX('Change in Proportion Layers'!$AF$8:$AF$324,MATCH('OPEB Amounts_Report'!A233,'Change in Proportion Layers'!$A$8:$A$324,0))</f>
        <v>283236</v>
      </c>
      <c r="H233" s="84">
        <f t="shared" si="15"/>
        <v>388376</v>
      </c>
      <c r="I233" s="84"/>
      <c r="J233" s="84">
        <f>ROUND(VLOOKUP(A233,'Contribution Allocation_Report'!$A$9:$D$314,4,FALSE)*'OPEB Amounts_Report'!$J$326,0)</f>
        <v>53111</v>
      </c>
      <c r="K233" s="84">
        <f>ROUND(VLOOKUP(A233,'Contribution Allocation_Report'!$A$9:$D$314,4,FALSE)*'OPEB Amounts_Report'!$K$326,0)</f>
        <v>322434</v>
      </c>
      <c r="L233" s="84">
        <f>INDEX('Change in Proportion Layers'!$AG$8:$AG$324,MATCH('OPEB Amounts_Report'!A233,'Change in Proportion Layers'!$A$8:$A$324,0))</f>
        <v>0</v>
      </c>
      <c r="M233" s="84">
        <f t="shared" si="13"/>
        <v>375545</v>
      </c>
      <c r="N233" s="85"/>
      <c r="O233" s="85">
        <f>ROUND(VLOOKUP(A233,'Contribution Allocation_Report'!$A$9:$D$314,4,FALSE)*'OPEB Amounts_Report'!$O$326,0)</f>
        <v>-103501</v>
      </c>
      <c r="P233" s="85">
        <f>INDEX('Change in Proportion Layers'!$AD$8:$AD$324,MATCH('OPEB Amounts_Report'!A233,'Change in Proportion Layers'!$A$8:$A$324,0))</f>
        <v>154281</v>
      </c>
      <c r="Q233" s="85">
        <f t="shared" si="14"/>
        <v>50780</v>
      </c>
    </row>
    <row r="234" spans="1:17" ht="12" customHeight="1">
      <c r="A234" s="59">
        <v>3280</v>
      </c>
      <c r="B234" s="63" t="s">
        <v>423</v>
      </c>
      <c r="C234" s="67">
        <f>ROUND(VLOOKUP(A234,'Contribution Allocation_Report'!$A$9:$D$314,4,FALSE)*'OPEB Amounts_Report'!$C$326,0)</f>
        <v>7165870</v>
      </c>
      <c r="D234" s="67">
        <f>ROUND(VLOOKUP(A234,'Contribution Allocation_Report'!$A$9:$D$314,4,FALSE)*'OPEB Amounts_Report'!$D$326,0)</f>
        <v>76797</v>
      </c>
      <c r="E234" s="67">
        <f>ROUND(VLOOKUP(A234,'Contribution Allocation_Report'!$A$9:$D$314,4,FALSE)*'OPEB Amounts_Report'!$E$326,0)</f>
        <v>64056</v>
      </c>
      <c r="F234" s="67">
        <f>ROUND(VLOOKUP(A234,'Contribution Allocation_Report'!$A$9:$D$314,4,FALSE)*'OPEB Amounts_Report'!$F$326,0)</f>
        <v>1340914</v>
      </c>
      <c r="G234" s="67">
        <f>INDEX('Change in Proportion Layers'!$AF$8:$AF$324,MATCH('OPEB Amounts_Report'!A234,'Change in Proportion Layers'!$A$8:$A$324,0))</f>
        <v>548953</v>
      </c>
      <c r="H234" s="67">
        <f t="shared" si="15"/>
        <v>2030720</v>
      </c>
      <c r="I234" s="67"/>
      <c r="J234" s="67">
        <f>ROUND(VLOOKUP(A234,'Contribution Allocation_Report'!$A$9:$D$314,4,FALSE)*'OPEB Amounts_Report'!$J$326,0)</f>
        <v>748507</v>
      </c>
      <c r="K234" s="67">
        <f>ROUND(VLOOKUP(A234,'Contribution Allocation_Report'!$A$9:$D$314,4,FALSE)*'OPEB Amounts_Report'!$K$326,0)</f>
        <v>4544143</v>
      </c>
      <c r="L234" s="67">
        <f>INDEX('Change in Proportion Layers'!$AG$8:$AG$324,MATCH('OPEB Amounts_Report'!A234,'Change in Proportion Layers'!$A$8:$A$324,0))</f>
        <v>956938</v>
      </c>
      <c r="M234" s="67">
        <f t="shared" si="13"/>
        <v>6249588</v>
      </c>
      <c r="N234" s="68"/>
      <c r="O234" s="68">
        <f>ROUND(VLOOKUP(A234,'Contribution Allocation_Report'!$A$9:$D$314,4,FALSE)*'OPEB Amounts_Report'!$O$326,0)</f>
        <v>-1458660</v>
      </c>
      <c r="P234" s="68">
        <f>INDEX('Change in Proportion Layers'!$AD$8:$AD$324,MATCH('OPEB Amounts_Report'!A234,'Change in Proportion Layers'!$A$8:$A$324,0))</f>
        <v>-711506</v>
      </c>
      <c r="Q234" s="68">
        <f t="shared" si="14"/>
        <v>-2170166</v>
      </c>
    </row>
    <row r="235" spans="1:17" ht="12" customHeight="1">
      <c r="A235" s="227">
        <v>4260</v>
      </c>
      <c r="B235" s="228" t="s">
        <v>221</v>
      </c>
      <c r="C235" s="84">
        <f>ROUND(VLOOKUP(A235,'Contribution Allocation_Report'!$A$9:$D$314,4,FALSE)*'OPEB Amounts_Report'!$C$326,0)</f>
        <v>556191</v>
      </c>
      <c r="D235" s="84">
        <f>ROUND(VLOOKUP(A235,'Contribution Allocation_Report'!$A$9:$D$314,4,FALSE)*'OPEB Amounts_Report'!$D$326,0)</f>
        <v>5961</v>
      </c>
      <c r="E235" s="84">
        <f>ROUND(VLOOKUP(A235,'Contribution Allocation_Report'!$A$9:$D$314,4,FALSE)*'OPEB Amounts_Report'!$E$326,0)</f>
        <v>4972</v>
      </c>
      <c r="F235" s="84">
        <f>ROUND(VLOOKUP(A235,'Contribution Allocation_Report'!$A$9:$D$314,4,FALSE)*'OPEB Amounts_Report'!$F$326,0)</f>
        <v>104077</v>
      </c>
      <c r="G235" s="84">
        <f>INDEX('Change in Proportion Layers'!$AF$8:$AF$324,MATCH('OPEB Amounts_Report'!A235,'Change in Proportion Layers'!$A$8:$A$324,0))</f>
        <v>113791</v>
      </c>
      <c r="H235" s="84">
        <f t="shared" si="15"/>
        <v>228801</v>
      </c>
      <c r="I235" s="84"/>
      <c r="J235" s="84">
        <f>ROUND(VLOOKUP(A235,'Contribution Allocation_Report'!$A$9:$D$314,4,FALSE)*'OPEB Amounts_Report'!$J$326,0)</f>
        <v>58097</v>
      </c>
      <c r="K235" s="84">
        <f>ROUND(VLOOKUP(A235,'Contribution Allocation_Report'!$A$9:$D$314,4,FALSE)*'OPEB Amounts_Report'!$K$326,0)</f>
        <v>352701</v>
      </c>
      <c r="L235" s="251">
        <f>INDEX('Change in Proportion Layers'!$AG$8:$AG$324,MATCH('OPEB Amounts_Report'!A235,'Change in Proportion Layers'!$A$8:$A$324,0))</f>
        <v>164129</v>
      </c>
      <c r="M235" s="84">
        <f t="shared" si="13"/>
        <v>574927</v>
      </c>
      <c r="N235" s="85"/>
      <c r="O235" s="85">
        <f>ROUND(VLOOKUP(A235,'Contribution Allocation_Report'!$A$9:$D$314,4,FALSE)*'OPEB Amounts_Report'!$O$326,0)</f>
        <v>-113216</v>
      </c>
      <c r="P235" s="85">
        <f>INDEX('Change in Proportion Layers'!$AD$8:$AD$324,MATCH('OPEB Amounts_Report'!A235,'Change in Proportion Layers'!$A$8:$A$324,0))</f>
        <v>-9999</v>
      </c>
      <c r="Q235" s="85">
        <f t="shared" si="14"/>
        <v>-123215</v>
      </c>
    </row>
    <row r="236" spans="1:17" ht="12" customHeight="1">
      <c r="A236" s="59">
        <v>1003</v>
      </c>
      <c r="B236" s="63" t="s">
        <v>222</v>
      </c>
      <c r="C236" s="67">
        <f>ROUND(VLOOKUP(A236,'Contribution Allocation_Report'!$A$9:$D$314,4,FALSE)*'OPEB Amounts_Report'!$C$326,0)</f>
        <v>7962915</v>
      </c>
      <c r="D236" s="67">
        <f>ROUND(VLOOKUP(A236,'Contribution Allocation_Report'!$A$9:$D$314,4,FALSE)*'OPEB Amounts_Report'!$D$326,0)</f>
        <v>85339</v>
      </c>
      <c r="E236" s="67">
        <f>ROUND(VLOOKUP(A236,'Contribution Allocation_Report'!$A$9:$D$314,4,FALSE)*'OPEB Amounts_Report'!$E$326,0)</f>
        <v>71181</v>
      </c>
      <c r="F236" s="67">
        <f>ROUND(VLOOKUP(A236,'Contribution Allocation_Report'!$A$9:$D$314,4,FALSE)*'OPEB Amounts_Report'!$F$326,0)</f>
        <v>1490061</v>
      </c>
      <c r="G236" s="67">
        <f>INDEX('Change in Proportion Layers'!$AF$8:$AF$324,MATCH('OPEB Amounts_Report'!A236,'Change in Proportion Layers'!$A$8:$A$324,0))</f>
        <v>584683</v>
      </c>
      <c r="H236" s="67">
        <f t="shared" si="15"/>
        <v>2231264</v>
      </c>
      <c r="I236" s="67"/>
      <c r="J236" s="67">
        <f>ROUND(VLOOKUP(A236,'Contribution Allocation_Report'!$A$9:$D$314,4,FALSE)*'OPEB Amounts_Report'!$J$326,0)</f>
        <v>831761</v>
      </c>
      <c r="K236" s="67">
        <f>ROUND(VLOOKUP(A236,'Contribution Allocation_Report'!$A$9:$D$314,4,FALSE)*'OPEB Amounts_Report'!$K$326,0)</f>
        <v>5049579</v>
      </c>
      <c r="L236" s="250">
        <f>INDEX('Change in Proportion Layers'!$AG$8:$AG$324,MATCH('OPEB Amounts_Report'!A236,'Change in Proportion Layers'!$A$8:$A$324,0))</f>
        <v>1054721</v>
      </c>
      <c r="M236" s="67">
        <f t="shared" si="13"/>
        <v>6936061</v>
      </c>
      <c r="N236" s="68"/>
      <c r="O236" s="68">
        <f>ROUND(VLOOKUP(A236,'Contribution Allocation_Report'!$A$9:$D$314,4,FALSE)*'OPEB Amounts_Report'!$O$326,0)</f>
        <v>-1620904</v>
      </c>
      <c r="P236" s="68">
        <f>INDEX('Change in Proportion Layers'!$AD$8:$AD$324,MATCH('OPEB Amounts_Report'!A236,'Change in Proportion Layers'!$A$8:$A$324,0))</f>
        <v>-517078</v>
      </c>
      <c r="Q236" s="68">
        <f t="shared" si="14"/>
        <v>-2137982</v>
      </c>
    </row>
    <row r="237" spans="1:17" ht="12" customHeight="1">
      <c r="A237" s="227">
        <v>3290</v>
      </c>
      <c r="B237" s="228" t="s">
        <v>223</v>
      </c>
      <c r="C237" s="84">
        <f>ROUND(VLOOKUP(A237,'Contribution Allocation_Report'!$A$9:$D$314,4,FALSE)*'OPEB Amounts_Report'!$C$326,0)</f>
        <v>16220596</v>
      </c>
      <c r="D237" s="84">
        <f>ROUND(VLOOKUP(A237,'Contribution Allocation_Report'!$A$9:$D$314,4,FALSE)*'OPEB Amounts_Report'!$D$326,0)</f>
        <v>173837</v>
      </c>
      <c r="E237" s="84">
        <f>ROUND(VLOOKUP(A237,'Contribution Allocation_Report'!$A$9:$D$314,4,FALSE)*'OPEB Amounts_Report'!$E$326,0)</f>
        <v>144996</v>
      </c>
      <c r="F237" s="84">
        <f>ROUND(VLOOKUP(A237,'Contribution Allocation_Report'!$A$9:$D$314,4,FALSE)*'OPEB Amounts_Report'!$F$326,0)</f>
        <v>3035280</v>
      </c>
      <c r="G237" s="84">
        <f>INDEX('Change in Proportion Layers'!$AF$8:$AF$324,MATCH('OPEB Amounts_Report'!A237,'Change in Proportion Layers'!$A$8:$A$324,0))</f>
        <v>2421619</v>
      </c>
      <c r="H237" s="84">
        <f t="shared" si="15"/>
        <v>5775732</v>
      </c>
      <c r="I237" s="84"/>
      <c r="J237" s="84">
        <f>ROUND(VLOOKUP(A237,'Contribution Allocation_Report'!$A$9:$D$314,4,FALSE)*'OPEB Amounts_Report'!$J$326,0)</f>
        <v>1694312</v>
      </c>
      <c r="K237" s="84">
        <f>ROUND(VLOOKUP(A237,'Contribution Allocation_Report'!$A$9:$D$314,4,FALSE)*'OPEB Amounts_Report'!$K$326,0)</f>
        <v>10286079</v>
      </c>
      <c r="L237" s="84">
        <f>INDEX('Change in Proportion Layers'!$AG$8:$AG$324,MATCH('OPEB Amounts_Report'!A237,'Change in Proportion Layers'!$A$8:$A$324,0))</f>
        <v>3827897</v>
      </c>
      <c r="M237" s="84">
        <f t="shared" si="13"/>
        <v>15808288</v>
      </c>
      <c r="N237" s="85"/>
      <c r="O237" s="85">
        <f>ROUND(VLOOKUP(A237,'Contribution Allocation_Report'!$A$9:$D$314,4,FALSE)*'OPEB Amounts_Report'!$O$326,0)</f>
        <v>-3301810</v>
      </c>
      <c r="P237" s="85">
        <f>INDEX('Change in Proportion Layers'!$AD$8:$AD$324,MATCH('OPEB Amounts_Report'!A237,'Change in Proportion Layers'!$A$8:$A$324,0))</f>
        <v>-1252007</v>
      </c>
      <c r="Q237" s="85">
        <f t="shared" si="14"/>
        <v>-4553817</v>
      </c>
    </row>
    <row r="238" spans="1:17" ht="12" customHeight="1">
      <c r="A238" s="59">
        <v>1002</v>
      </c>
      <c r="B238" s="63" t="s">
        <v>224</v>
      </c>
      <c r="C238" s="67">
        <f>ROUND(VLOOKUP(A238,'Contribution Allocation_Report'!$A$9:$D$314,4,FALSE)*'OPEB Amounts_Report'!$C$326,0)</f>
        <v>28823769</v>
      </c>
      <c r="D238" s="67">
        <f>ROUND(VLOOKUP(A238,'Contribution Allocation_Report'!$A$9:$D$314,4,FALSE)*'OPEB Amounts_Report'!$D$326,0)</f>
        <v>308906</v>
      </c>
      <c r="E238" s="67">
        <f>ROUND(VLOOKUP(A238,'Contribution Allocation_Report'!$A$9:$D$314,4,FALSE)*'OPEB Amounts_Report'!$E$326,0)</f>
        <v>257657</v>
      </c>
      <c r="F238" s="67">
        <f>ROUND(VLOOKUP(A238,'Contribution Allocation_Report'!$A$9:$D$314,4,FALSE)*'OPEB Amounts_Report'!$F$326,0)</f>
        <v>5393649</v>
      </c>
      <c r="G238" s="67">
        <f>INDEX('Change in Proportion Layers'!$AF$8:$AF$324,MATCH('OPEB Amounts_Report'!A238,'Change in Proportion Layers'!$A$8:$A$324,0))</f>
        <v>495904</v>
      </c>
      <c r="H238" s="67">
        <f t="shared" si="15"/>
        <v>6456116</v>
      </c>
      <c r="I238" s="67"/>
      <c r="J238" s="67">
        <f>ROUND(VLOOKUP(A238,'Contribution Allocation_Report'!$A$9:$D$314,4,FALSE)*'OPEB Amounts_Report'!$J$326,0)</f>
        <v>3010769</v>
      </c>
      <c r="K238" s="67">
        <f>ROUND(VLOOKUP(A238,'Contribution Allocation_Report'!$A$9:$D$314,4,FALSE)*'OPEB Amounts_Report'!$K$326,0)</f>
        <v>18278217</v>
      </c>
      <c r="L238" s="67">
        <f>INDEX('Change in Proportion Layers'!$AG$8:$AG$324,MATCH('OPEB Amounts_Report'!A238,'Change in Proportion Layers'!$A$8:$A$324,0))</f>
        <v>3959865</v>
      </c>
      <c r="M238" s="67">
        <f t="shared" si="13"/>
        <v>25248851</v>
      </c>
      <c r="N238" s="68"/>
      <c r="O238" s="68">
        <f>ROUND(VLOOKUP(A238,'Contribution Allocation_Report'!$A$9:$D$314,4,FALSE)*'OPEB Amounts_Report'!$O$326,0)</f>
        <v>-5867270</v>
      </c>
      <c r="P238" s="68">
        <f>INDEX('Change in Proportion Layers'!$AD$8:$AD$324,MATCH('OPEB Amounts_Report'!A238,'Change in Proportion Layers'!$A$8:$A$324,0))</f>
        <v>-502615</v>
      </c>
      <c r="Q238" s="68">
        <f t="shared" si="14"/>
        <v>-6369885</v>
      </c>
    </row>
    <row r="239" spans="1:17" s="190" customFormat="1" ht="12" customHeight="1">
      <c r="A239" s="227">
        <v>4270</v>
      </c>
      <c r="B239" s="228" t="s">
        <v>424</v>
      </c>
      <c r="C239" s="84">
        <f>ROUND(VLOOKUP(A239,'Contribution Allocation_Report'!$A$9:$D$314,4,FALSE)*'OPEB Amounts_Report'!$C$326,0)</f>
        <v>604385</v>
      </c>
      <c r="D239" s="84">
        <f>ROUND(VLOOKUP(A239,'Contribution Allocation_Report'!$A$9:$D$314,4,FALSE)*'OPEB Amounts_Report'!$D$326,0)</f>
        <v>6477</v>
      </c>
      <c r="E239" s="84">
        <f>ROUND(VLOOKUP(A239,'Contribution Allocation_Report'!$A$9:$D$314,4,FALSE)*'OPEB Amounts_Report'!$E$326,0)</f>
        <v>5403</v>
      </c>
      <c r="F239" s="84">
        <f>ROUND(VLOOKUP(A239,'Contribution Allocation_Report'!$A$9:$D$314,4,FALSE)*'OPEB Amounts_Report'!$F$326,0)</f>
        <v>113095</v>
      </c>
      <c r="G239" s="84">
        <f>INDEX('Change in Proportion Layers'!$AF$8:$AF$324,MATCH('OPEB Amounts_Report'!A239,'Change in Proportion Layers'!$A$8:$A$324,0))</f>
        <v>617364</v>
      </c>
      <c r="H239" s="84">
        <f t="shared" si="15"/>
        <v>742339</v>
      </c>
      <c r="I239" s="84"/>
      <c r="J239" s="84">
        <f>ROUND(VLOOKUP(A239,'Contribution Allocation_Report'!$A$9:$D$314,4,FALSE)*'OPEB Amounts_Report'!$J$326,0)</f>
        <v>63131</v>
      </c>
      <c r="K239" s="84">
        <f>ROUND(VLOOKUP(A239,'Contribution Allocation_Report'!$A$9:$D$314,4,FALSE)*'OPEB Amounts_Report'!$K$326,0)</f>
        <v>383263</v>
      </c>
      <c r="L239" s="251">
        <f>INDEX('Change in Proportion Layers'!$AG$8:$AG$324,MATCH('OPEB Amounts_Report'!A239,'Change in Proportion Layers'!$A$8:$A$324,0))</f>
        <v>107295</v>
      </c>
      <c r="M239" s="84">
        <f t="shared" si="13"/>
        <v>553689</v>
      </c>
      <c r="N239" s="85"/>
      <c r="O239" s="85">
        <f>ROUND(VLOOKUP(A239,'Contribution Allocation_Report'!$A$9:$D$314,4,FALSE)*'OPEB Amounts_Report'!$O$326,0)</f>
        <v>-123026</v>
      </c>
      <c r="P239" s="85">
        <f>INDEX('Change in Proportion Layers'!$AD$8:$AD$324,MATCH('OPEB Amounts_Report'!A239,'Change in Proportion Layers'!$A$8:$A$324,0))</f>
        <v>279632</v>
      </c>
      <c r="Q239" s="85">
        <f t="shared" si="14"/>
        <v>156606</v>
      </c>
    </row>
    <row r="240" spans="1:17" ht="12" customHeight="1">
      <c r="A240" s="59">
        <v>24072</v>
      </c>
      <c r="B240" s="63" t="s">
        <v>225</v>
      </c>
      <c r="C240" s="67">
        <f>ROUND(VLOOKUP(A240,'Contribution Allocation_Report'!$A$9:$D$314,4,FALSE)*'OPEB Amounts_Report'!$C$326,0)</f>
        <v>2163315</v>
      </c>
      <c r="D240" s="67">
        <f>ROUND(VLOOKUP(A240,'Contribution Allocation_Report'!$A$9:$D$314,4,FALSE)*'OPEB Amounts_Report'!$D$326,0)</f>
        <v>23184</v>
      </c>
      <c r="E240" s="67">
        <f>ROUND(VLOOKUP(A240,'Contribution Allocation_Report'!$A$9:$D$314,4,FALSE)*'OPEB Amounts_Report'!$E$326,0)</f>
        <v>19338</v>
      </c>
      <c r="F240" s="67">
        <f>ROUND(VLOOKUP(A240,'Contribution Allocation_Report'!$A$9:$D$314,4,FALSE)*'OPEB Amounts_Report'!$F$326,0)</f>
        <v>404810</v>
      </c>
      <c r="G240" s="250">
        <f>INDEX('Change in Proportion Layers'!$AF$8:$AF$324,MATCH('OPEB Amounts_Report'!A240,'Change in Proportion Layers'!$A$8:$A$324,0))</f>
        <v>415547</v>
      </c>
      <c r="H240" s="67">
        <f t="shared" si="15"/>
        <v>862879</v>
      </c>
      <c r="I240" s="67"/>
      <c r="J240" s="67">
        <f>ROUND(VLOOKUP(A240,'Contribution Allocation_Report'!$A$9:$D$314,4,FALSE)*'OPEB Amounts_Report'!$J$326,0)</f>
        <v>225968</v>
      </c>
      <c r="K240" s="67">
        <f>ROUND(VLOOKUP(A240,'Contribution Allocation_Report'!$A$9:$D$314,4,FALSE)*'OPEB Amounts_Report'!$K$326,0)</f>
        <v>1371838</v>
      </c>
      <c r="L240" s="250">
        <f>INDEX('Change in Proportion Layers'!$AG$8:$AG$324,MATCH('OPEB Amounts_Report'!A240,'Change in Proportion Layers'!$A$8:$A$324,0))</f>
        <v>291920</v>
      </c>
      <c r="M240" s="67">
        <f t="shared" si="13"/>
        <v>1889726</v>
      </c>
      <c r="N240" s="68"/>
      <c r="O240" s="68">
        <f>ROUND(VLOOKUP(A240,'Contribution Allocation_Report'!$A$9:$D$314,4,FALSE)*'OPEB Amounts_Report'!$O$326,0)</f>
        <v>-440357</v>
      </c>
      <c r="P240" s="68">
        <f>INDEX('Change in Proportion Layers'!$AD$8:$AD$324,MATCH('OPEB Amounts_Report'!A240,'Change in Proportion Layers'!$A$8:$A$324,0))</f>
        <v>136813</v>
      </c>
      <c r="Q240" s="68">
        <f t="shared" si="14"/>
        <v>-303544</v>
      </c>
    </row>
    <row r="241" spans="1:17" ht="12" customHeight="1">
      <c r="A241" s="227">
        <v>14366</v>
      </c>
      <c r="B241" s="228" t="s">
        <v>226</v>
      </c>
      <c r="C241" s="84">
        <f>ROUND(VLOOKUP(A241,'Contribution Allocation_Report'!$A$9:$D$314,4,FALSE)*'OPEB Amounts_Report'!$C$326,0)</f>
        <v>1365191</v>
      </c>
      <c r="D241" s="84">
        <f>ROUND(VLOOKUP(A241,'Contribution Allocation_Report'!$A$9:$D$314,4,FALSE)*'OPEB Amounts_Report'!$D$326,0)</f>
        <v>14631</v>
      </c>
      <c r="E241" s="84">
        <f>ROUND(VLOOKUP(A241,'Contribution Allocation_Report'!$A$9:$D$314,4,FALSE)*'OPEB Amounts_Report'!$E$326,0)</f>
        <v>12203</v>
      </c>
      <c r="F241" s="84">
        <f>ROUND(VLOOKUP(A241,'Contribution Allocation_Report'!$A$9:$D$314,4,FALSE)*'OPEB Amounts_Report'!$F$326,0)</f>
        <v>255461</v>
      </c>
      <c r="G241" s="84">
        <f>INDEX('Change in Proportion Layers'!$AF$8:$AF$324,MATCH('OPEB Amounts_Report'!A241,'Change in Proportion Layers'!$A$8:$A$324,0))</f>
        <v>627596</v>
      </c>
      <c r="H241" s="84">
        <f t="shared" si="15"/>
        <v>909891</v>
      </c>
      <c r="I241" s="84"/>
      <c r="J241" s="84">
        <f>ROUND(VLOOKUP(A241,'Contribution Allocation_Report'!$A$9:$D$314,4,FALSE)*'OPEB Amounts_Report'!$J$326,0)</f>
        <v>142600</v>
      </c>
      <c r="K241" s="84">
        <f>ROUND(VLOOKUP(A241,'Contribution Allocation_Report'!$A$9:$D$314,4,FALSE)*'OPEB Amounts_Report'!$K$326,0)</f>
        <v>865718</v>
      </c>
      <c r="L241" s="84">
        <f>INDEX('Change in Proportion Layers'!$AG$8:$AG$324,MATCH('OPEB Amounts_Report'!A241,'Change in Proportion Layers'!$A$8:$A$324,0))</f>
        <v>160954</v>
      </c>
      <c r="M241" s="84">
        <f t="shared" si="13"/>
        <v>1169272</v>
      </c>
      <c r="N241" s="85"/>
      <c r="O241" s="85">
        <f>ROUND(VLOOKUP(A241,'Contribution Allocation_Report'!$A$9:$D$314,4,FALSE)*'OPEB Amounts_Report'!$O$326,0)</f>
        <v>-277894</v>
      </c>
      <c r="P241" s="85">
        <f>INDEX('Change in Proportion Layers'!$AD$8:$AD$324,MATCH('OPEB Amounts_Report'!A241,'Change in Proportion Layers'!$A$8:$A$324,0))</f>
        <v>171435</v>
      </c>
      <c r="Q241" s="85">
        <f t="shared" si="14"/>
        <v>-106459</v>
      </c>
    </row>
    <row r="242" spans="1:17" ht="12" customHeight="1">
      <c r="A242" s="59">
        <v>4317</v>
      </c>
      <c r="B242" s="63" t="s">
        <v>227</v>
      </c>
      <c r="C242" s="67">
        <f>ROUND(VLOOKUP(A242,'Contribution Allocation_Report'!$A$9:$D$314,4,FALSE)*'OPEB Amounts_Report'!$C$326,0)</f>
        <v>380179</v>
      </c>
      <c r="D242" s="67">
        <f>ROUND(VLOOKUP(A242,'Contribution Allocation_Report'!$A$9:$D$314,4,FALSE)*'OPEB Amounts_Report'!$D$326,0)</f>
        <v>4074</v>
      </c>
      <c r="E242" s="67">
        <f>ROUND(VLOOKUP(A242,'Contribution Allocation_Report'!$A$9:$D$314,4,FALSE)*'OPEB Amounts_Report'!$E$326,0)</f>
        <v>3398</v>
      </c>
      <c r="F242" s="67">
        <f>ROUND(VLOOKUP(A242,'Contribution Allocation_Report'!$A$9:$D$314,4,FALSE)*'OPEB Amounts_Report'!$F$326,0)</f>
        <v>71141</v>
      </c>
      <c r="G242" s="67">
        <f>INDEX('Change in Proportion Layers'!$AF$8:$AF$324,MATCH('OPEB Amounts_Report'!A242,'Change in Proportion Layers'!$A$8:$A$324,0))</f>
        <v>250623</v>
      </c>
      <c r="H242" s="67">
        <f t="shared" si="15"/>
        <v>329236</v>
      </c>
      <c r="I242" s="67"/>
      <c r="J242" s="67">
        <f>ROUND(VLOOKUP(A242,'Contribution Allocation_Report'!$A$9:$D$314,4,FALSE)*'OPEB Amounts_Report'!$J$326,0)</f>
        <v>39711</v>
      </c>
      <c r="K242" s="67">
        <f>ROUND(VLOOKUP(A242,'Contribution Allocation_Report'!$A$9:$D$314,4,FALSE)*'OPEB Amounts_Report'!$K$326,0)</f>
        <v>241085</v>
      </c>
      <c r="L242" s="67">
        <f>INDEX('Change in Proportion Layers'!$AG$8:$AG$324,MATCH('OPEB Amounts_Report'!A242,'Change in Proportion Layers'!$A$8:$A$324,0))</f>
        <v>49144</v>
      </c>
      <c r="M242" s="67">
        <f t="shared" si="13"/>
        <v>329940</v>
      </c>
      <c r="N242" s="68"/>
      <c r="O242" s="68">
        <f>ROUND(VLOOKUP(A242,'Contribution Allocation_Report'!$A$9:$D$314,4,FALSE)*'OPEB Amounts_Report'!$O$326,0)</f>
        <v>-77388</v>
      </c>
      <c r="P242" s="68">
        <f>INDEX('Change in Proportion Layers'!$AD$8:$AD$324,MATCH('OPEB Amounts_Report'!A242,'Change in Proportion Layers'!$A$8:$A$324,0))</f>
        <v>108980</v>
      </c>
      <c r="Q242" s="68">
        <f t="shared" si="14"/>
        <v>31592</v>
      </c>
    </row>
    <row r="243" spans="1:17" ht="12" customHeight="1">
      <c r="A243" s="227">
        <v>32120</v>
      </c>
      <c r="B243" s="228" t="s">
        <v>228</v>
      </c>
      <c r="C243" s="84">
        <f>ROUND(VLOOKUP(A243,'Contribution Allocation_Report'!$A$9:$D$314,4,FALSE)*'OPEB Amounts_Report'!$C$326,0)</f>
        <v>755943</v>
      </c>
      <c r="D243" s="84">
        <f>ROUND(VLOOKUP(A243,'Contribution Allocation_Report'!$A$9:$D$314,4,FALSE)*'OPEB Amounts_Report'!$D$326,0)</f>
        <v>8101</v>
      </c>
      <c r="E243" s="84">
        <f>ROUND(VLOOKUP(A243,'Contribution Allocation_Report'!$A$9:$D$314,4,FALSE)*'OPEB Amounts_Report'!$E$326,0)</f>
        <v>6757</v>
      </c>
      <c r="F243" s="84">
        <f>ROUND(VLOOKUP(A243,'Contribution Allocation_Report'!$A$9:$D$314,4,FALSE)*'OPEB Amounts_Report'!$F$326,0)</f>
        <v>141456</v>
      </c>
      <c r="G243" s="84">
        <f>INDEX('Change in Proportion Layers'!$AF$8:$AF$324,MATCH('OPEB Amounts_Report'!A243,'Change in Proportion Layers'!$A$8:$A$324,0))</f>
        <v>531057</v>
      </c>
      <c r="H243" s="84">
        <f t="shared" si="15"/>
        <v>687371</v>
      </c>
      <c r="I243" s="84"/>
      <c r="J243" s="84">
        <f>ROUND(VLOOKUP(A243,'Contribution Allocation_Report'!$A$9:$D$314,4,FALSE)*'OPEB Amounts_Report'!$J$326,0)</f>
        <v>78962</v>
      </c>
      <c r="K243" s="84">
        <f>ROUND(VLOOKUP(A243,'Contribution Allocation_Report'!$A$9:$D$314,4,FALSE)*'OPEB Amounts_Report'!$K$326,0)</f>
        <v>479372</v>
      </c>
      <c r="L243" s="84">
        <f>INDEX('Change in Proportion Layers'!$AG$8:$AG$324,MATCH('OPEB Amounts_Report'!A243,'Change in Proportion Layers'!$A$8:$A$324,0))</f>
        <v>0</v>
      </c>
      <c r="M243" s="84">
        <f t="shared" si="13"/>
        <v>558334</v>
      </c>
      <c r="N243" s="85"/>
      <c r="O243" s="85">
        <f>ROUND(VLOOKUP(A243,'Contribution Allocation_Report'!$A$9:$D$314,4,FALSE)*'OPEB Amounts_Report'!$O$326,0)</f>
        <v>-153877</v>
      </c>
      <c r="P243" s="85">
        <f>INDEX('Change in Proportion Layers'!$AD$8:$AD$324,MATCH('OPEB Amounts_Report'!A243,'Change in Proportion Layers'!$A$8:$A$324,0))</f>
        <v>209392</v>
      </c>
      <c r="Q243" s="85">
        <f t="shared" si="14"/>
        <v>55515</v>
      </c>
    </row>
    <row r="244" spans="1:17" ht="12" customHeight="1">
      <c r="A244" s="59">
        <v>3300</v>
      </c>
      <c r="B244" s="63" t="s">
        <v>425</v>
      </c>
      <c r="C244" s="67">
        <f>ROUND(VLOOKUP(A244,'Contribution Allocation_Report'!$A$9:$D$314,4,FALSE)*'OPEB Amounts_Report'!$C$326,0)</f>
        <v>1093688</v>
      </c>
      <c r="D244" s="67">
        <f>ROUND(VLOOKUP(A244,'Contribution Allocation_Report'!$A$9:$D$314,4,FALSE)*'OPEB Amounts_Report'!$D$326,0)</f>
        <v>11721</v>
      </c>
      <c r="E244" s="67">
        <f>ROUND(VLOOKUP(A244,'Contribution Allocation_Report'!$A$9:$D$314,4,FALSE)*'OPEB Amounts_Report'!$E$326,0)</f>
        <v>9777</v>
      </c>
      <c r="F244" s="67">
        <f>ROUND(VLOOKUP(A244,'Contribution Allocation_Report'!$A$9:$D$314,4,FALSE)*'OPEB Amounts_Report'!$F$326,0)</f>
        <v>204656</v>
      </c>
      <c r="G244" s="67">
        <f>INDEX('Change in Proportion Layers'!$AF$8:$AF$324,MATCH('OPEB Amounts_Report'!A244,'Change in Proportion Layers'!$A$8:$A$324,0))</f>
        <v>115792</v>
      </c>
      <c r="H244" s="67">
        <f t="shared" si="15"/>
        <v>341946</v>
      </c>
      <c r="I244" s="67"/>
      <c r="J244" s="67">
        <f>ROUND(VLOOKUP(A244,'Contribution Allocation_Report'!$A$9:$D$314,4,FALSE)*'OPEB Amounts_Report'!$J$326,0)</f>
        <v>114241</v>
      </c>
      <c r="K244" s="67">
        <f>ROUND(VLOOKUP(A244,'Contribution Allocation_Report'!$A$9:$D$314,4,FALSE)*'OPEB Amounts_Report'!$K$326,0)</f>
        <v>693548</v>
      </c>
      <c r="L244" s="67">
        <f>INDEX('Change in Proportion Layers'!$AG$8:$AG$324,MATCH('OPEB Amounts_Report'!A244,'Change in Proportion Layers'!$A$8:$A$324,0))</f>
        <v>178827</v>
      </c>
      <c r="M244" s="67">
        <f t="shared" si="13"/>
        <v>986616</v>
      </c>
      <c r="N244" s="68"/>
      <c r="O244" s="68">
        <f>ROUND(VLOOKUP(A244,'Contribution Allocation_Report'!$A$9:$D$314,4,FALSE)*'OPEB Amounts_Report'!$O$326,0)</f>
        <v>-222628</v>
      </c>
      <c r="P244" s="68">
        <f>INDEX('Change in Proportion Layers'!$AD$8:$AD$324,MATCH('OPEB Amounts_Report'!A244,'Change in Proportion Layers'!$A$8:$A$324,0))</f>
        <v>-37463</v>
      </c>
      <c r="Q244" s="68">
        <f t="shared" si="14"/>
        <v>-260091</v>
      </c>
    </row>
    <row r="245" spans="1:17" ht="12" customHeight="1">
      <c r="A245" s="227">
        <v>8026</v>
      </c>
      <c r="B245" s="228" t="s">
        <v>230</v>
      </c>
      <c r="C245" s="84">
        <f>ROUND(VLOOKUP(A245,'Contribution Allocation_Report'!$A$9:$D$314,4,FALSE)*'OPEB Amounts_Report'!$C$326,0)</f>
        <v>5854170</v>
      </c>
      <c r="D245" s="84">
        <f>ROUND(VLOOKUP(A245,'Contribution Allocation_Report'!$A$9:$D$314,4,FALSE)*'OPEB Amounts_Report'!$D$326,0)</f>
        <v>62739</v>
      </c>
      <c r="E245" s="84">
        <f>ROUND(VLOOKUP(A245,'Contribution Allocation_Report'!$A$9:$D$314,4,FALSE)*'OPEB Amounts_Report'!$E$326,0)</f>
        <v>52331</v>
      </c>
      <c r="F245" s="84">
        <f>ROUND(VLOOKUP(A245,'Contribution Allocation_Report'!$A$9:$D$314,4,FALSE)*'OPEB Amounts_Report'!$F$326,0)</f>
        <v>1095462</v>
      </c>
      <c r="G245" s="84">
        <f>INDEX('Change in Proportion Layers'!$AF$8:$AF$324,MATCH('OPEB Amounts_Report'!A245,'Change in Proportion Layers'!$A$8:$A$324,0))</f>
        <v>26170</v>
      </c>
      <c r="H245" s="84">
        <f t="shared" si="15"/>
        <v>1236702</v>
      </c>
      <c r="I245" s="84"/>
      <c r="J245" s="84">
        <f>ROUND(VLOOKUP(A245,'Contribution Allocation_Report'!$A$9:$D$314,4,FALSE)*'OPEB Amounts_Report'!$J$326,0)</f>
        <v>611494</v>
      </c>
      <c r="K245" s="84">
        <f>ROUND(VLOOKUP(A245,'Contribution Allocation_Report'!$A$9:$D$314,4,FALSE)*'OPEB Amounts_Report'!$K$326,0)</f>
        <v>3712345</v>
      </c>
      <c r="L245" s="251">
        <f>INDEX('Change in Proportion Layers'!$AG$8:$AG$324,MATCH('OPEB Amounts_Report'!A245,'Change in Proportion Layers'!$A$8:$A$324,0))</f>
        <v>695421</v>
      </c>
      <c r="M245" s="84">
        <f t="shared" si="13"/>
        <v>5019260</v>
      </c>
      <c r="N245" s="85"/>
      <c r="O245" s="85">
        <f>ROUND(VLOOKUP(A245,'Contribution Allocation_Report'!$A$9:$D$314,4,FALSE)*'OPEB Amounts_Report'!$O$326,0)</f>
        <v>-1191655</v>
      </c>
      <c r="P245" s="85">
        <f>INDEX('Change in Proportion Layers'!$AD$8:$AD$324,MATCH('OPEB Amounts_Report'!A245,'Change in Proportion Layers'!$A$8:$A$324,0))</f>
        <v>-323430</v>
      </c>
      <c r="Q245" s="85">
        <f t="shared" si="14"/>
        <v>-1515085</v>
      </c>
    </row>
    <row r="246" spans="1:17" ht="12" customHeight="1">
      <c r="A246" s="59">
        <v>32119</v>
      </c>
      <c r="B246" s="63" t="s">
        <v>231</v>
      </c>
      <c r="C246" s="67">
        <f>ROUND(VLOOKUP(A246,'Contribution Allocation_Report'!$A$9:$D$314,4,FALSE)*'OPEB Amounts_Report'!$C$326,0)</f>
        <v>176699</v>
      </c>
      <c r="D246" s="67">
        <f>ROUND(VLOOKUP(A246,'Contribution Allocation_Report'!$A$9:$D$314,4,FALSE)*'OPEB Amounts_Report'!$D$326,0)</f>
        <v>1894</v>
      </c>
      <c r="E246" s="67">
        <f>ROUND(VLOOKUP(A246,'Contribution Allocation_Report'!$A$9:$D$314,4,FALSE)*'OPEB Amounts_Report'!$E$326,0)</f>
        <v>1580</v>
      </c>
      <c r="F246" s="67">
        <f>ROUND(VLOOKUP(A246,'Contribution Allocation_Report'!$A$9:$D$314,4,FALSE)*'OPEB Amounts_Report'!$F$326,0)</f>
        <v>33065</v>
      </c>
      <c r="G246" s="67">
        <f>INDEX('Change in Proportion Layers'!$AF$8:$AF$324,MATCH('OPEB Amounts_Report'!A246,'Change in Proportion Layers'!$A$8:$A$324,0))</f>
        <v>56915</v>
      </c>
      <c r="H246" s="67">
        <f t="shared" si="15"/>
        <v>93454</v>
      </c>
      <c r="I246" s="67"/>
      <c r="J246" s="67">
        <f>ROUND(VLOOKUP(A246,'Contribution Allocation_Report'!$A$9:$D$314,4,FALSE)*'OPEB Amounts_Report'!$J$326,0)</f>
        <v>18457</v>
      </c>
      <c r="K246" s="67">
        <f>ROUND(VLOOKUP(A246,'Contribution Allocation_Report'!$A$9:$D$314,4,FALSE)*'OPEB Amounts_Report'!$K$326,0)</f>
        <v>112052</v>
      </c>
      <c r="L246" s="250">
        <f>INDEX('Change in Proportion Layers'!$AG$8:$AG$324,MATCH('OPEB Amounts_Report'!A246,'Change in Proportion Layers'!$A$8:$A$324,0))</f>
        <v>106003</v>
      </c>
      <c r="M246" s="67">
        <f t="shared" si="13"/>
        <v>236512</v>
      </c>
      <c r="N246" s="68"/>
      <c r="O246" s="68">
        <f>ROUND(VLOOKUP(A246,'Contribution Allocation_Report'!$A$9:$D$314,4,FALSE)*'OPEB Amounts_Report'!$O$326,0)</f>
        <v>-35968</v>
      </c>
      <c r="P246" s="68">
        <f>INDEX('Change in Proportion Layers'!$AD$8:$AD$324,MATCH('OPEB Amounts_Report'!A246,'Change in Proportion Layers'!$A$8:$A$324,0))</f>
        <v>10532</v>
      </c>
      <c r="Q246" s="68">
        <f t="shared" si="14"/>
        <v>-25436</v>
      </c>
    </row>
    <row r="247" spans="1:17" ht="12" customHeight="1">
      <c r="A247" s="227">
        <v>25076</v>
      </c>
      <c r="B247" s="228" t="s">
        <v>232</v>
      </c>
      <c r="C247" s="84">
        <f>ROUND(VLOOKUP(A247,'Contribution Allocation_Report'!$A$9:$D$314,4,FALSE)*'OPEB Amounts_Report'!$C$326,0)</f>
        <v>3686861</v>
      </c>
      <c r="D247" s="84">
        <f>ROUND(VLOOKUP(A247,'Contribution Allocation_Report'!$A$9:$D$314,4,FALSE)*'OPEB Amounts_Report'!$D$326,0)</f>
        <v>39512</v>
      </c>
      <c r="E247" s="84">
        <f>ROUND(VLOOKUP(A247,'Contribution Allocation_Report'!$A$9:$D$314,4,FALSE)*'OPEB Amounts_Report'!$E$326,0)</f>
        <v>32957</v>
      </c>
      <c r="F247" s="84">
        <f>ROUND(VLOOKUP(A247,'Contribution Allocation_Report'!$A$9:$D$314,4,FALSE)*'OPEB Amounts_Report'!$F$326,0)</f>
        <v>689904</v>
      </c>
      <c r="G247" s="84">
        <f>INDEX('Change in Proportion Layers'!$AF$8:$AF$324,MATCH('OPEB Amounts_Report'!A247,'Change in Proportion Layers'!$A$8:$A$324,0))</f>
        <v>322963</v>
      </c>
      <c r="H247" s="84">
        <f t="shared" si="15"/>
        <v>1085336</v>
      </c>
      <c r="I247" s="84"/>
      <c r="J247" s="84">
        <f>ROUND(VLOOKUP(A247,'Contribution Allocation_Report'!$A$9:$D$314,4,FALSE)*'OPEB Amounts_Report'!$J$326,0)</f>
        <v>385109</v>
      </c>
      <c r="K247" s="84">
        <f>ROUND(VLOOKUP(A247,'Contribution Allocation_Report'!$A$9:$D$314,4,FALSE)*'OPEB Amounts_Report'!$K$326,0)</f>
        <v>2337975</v>
      </c>
      <c r="L247" s="251">
        <f>INDEX('Change in Proportion Layers'!$AG$8:$AG$324,MATCH('OPEB Amounts_Report'!A247,'Change in Proportion Layers'!$A$8:$A$324,0))</f>
        <v>421687</v>
      </c>
      <c r="M247" s="84">
        <f t="shared" si="13"/>
        <v>3144771</v>
      </c>
      <c r="N247" s="85"/>
      <c r="O247" s="85">
        <f>ROUND(VLOOKUP(A247,'Contribution Allocation_Report'!$A$9:$D$314,4,FALSE)*'OPEB Amounts_Report'!$O$326,0)</f>
        <v>-750485</v>
      </c>
      <c r="P247" s="85">
        <f>INDEX('Change in Proportion Layers'!$AD$8:$AD$324,MATCH('OPEB Amounts_Report'!A247,'Change in Proportion Layers'!$A$8:$A$324,0))</f>
        <v>6443</v>
      </c>
      <c r="Q247" s="85">
        <f t="shared" si="14"/>
        <v>-744042</v>
      </c>
    </row>
    <row r="248" spans="1:17" ht="12" customHeight="1">
      <c r="A248" s="59">
        <v>2440</v>
      </c>
      <c r="B248" s="63" t="s">
        <v>401</v>
      </c>
      <c r="C248" s="67">
        <f>ROUND(VLOOKUP(A248,'Contribution Allocation_Report'!$A$9:$D$314,4,FALSE)*'OPEB Amounts_Report'!$C$326,0)</f>
        <v>858790</v>
      </c>
      <c r="D248" s="67">
        <f>ROUND(VLOOKUP(A248,'Contribution Allocation_Report'!$A$9:$D$314,4,FALSE)*'OPEB Amounts_Report'!$D$326,0)</f>
        <v>9204</v>
      </c>
      <c r="E248" s="67">
        <f>ROUND(VLOOKUP(A248,'Contribution Allocation_Report'!$A$9:$D$314,4,FALSE)*'OPEB Amounts_Report'!$E$326,0)</f>
        <v>7677</v>
      </c>
      <c r="F248" s="67">
        <f>ROUND(VLOOKUP(A248,'Contribution Allocation_Report'!$A$9:$D$314,4,FALSE)*'OPEB Amounts_Report'!$F$326,0)</f>
        <v>160701</v>
      </c>
      <c r="G248" s="67">
        <f>INDEX('Change in Proportion Layers'!$AF$8:$AF$324,MATCH('OPEB Amounts_Report'!A248,'Change in Proportion Layers'!$A$8:$A$324,0))</f>
        <v>914301</v>
      </c>
      <c r="H248" s="67">
        <f t="shared" si="15"/>
        <v>1091883</v>
      </c>
      <c r="I248" s="67"/>
      <c r="J248" s="67">
        <f>ROUND(VLOOKUP(A248,'Contribution Allocation_Report'!$A$9:$D$314,4,FALSE)*'OPEB Amounts_Report'!$J$326,0)</f>
        <v>89704</v>
      </c>
      <c r="K248" s="67">
        <f>ROUND(VLOOKUP(A248,'Contribution Allocation_Report'!$A$9:$D$314,4,FALSE)*'OPEB Amounts_Report'!$K$326,0)</f>
        <v>544590</v>
      </c>
      <c r="L248" s="250">
        <f>INDEX('Change in Proportion Layers'!$AG$8:$AG$324,MATCH('OPEB Amounts_Report'!A248,'Change in Proportion Layers'!$A$8:$A$324,0))</f>
        <v>0</v>
      </c>
      <c r="M248" s="67">
        <f t="shared" si="13"/>
        <v>634294</v>
      </c>
      <c r="N248" s="68"/>
      <c r="O248" s="68">
        <f>ROUND(VLOOKUP(A248,'Contribution Allocation_Report'!$A$9:$D$314,4,FALSE)*'OPEB Amounts_Report'!$O$326,0)</f>
        <v>-174812</v>
      </c>
      <c r="P248" s="68">
        <f>INDEX('Change in Proportion Layers'!$AD$8:$AD$324,MATCH('OPEB Amounts_Report'!A248,'Change in Proportion Layers'!$A$8:$A$324,0))</f>
        <v>343111</v>
      </c>
      <c r="Q248" s="68">
        <f t="shared" si="14"/>
        <v>168299</v>
      </c>
    </row>
    <row r="249" spans="1:17" ht="12" customHeight="1">
      <c r="A249" s="227">
        <v>2309</v>
      </c>
      <c r="B249" s="228" t="s">
        <v>233</v>
      </c>
      <c r="C249" s="84">
        <f>ROUND(VLOOKUP(A249,'Contribution Allocation_Report'!$A$9:$D$314,4,FALSE)*'OPEB Amounts_Report'!$C$326,0)</f>
        <v>1631185</v>
      </c>
      <c r="D249" s="84">
        <f>ROUND(VLOOKUP(A249,'Contribution Allocation_Report'!$A$9:$D$314,4,FALSE)*'OPEB Amounts_Report'!$D$326,0)</f>
        <v>17481</v>
      </c>
      <c r="E249" s="84">
        <f>ROUND(VLOOKUP(A249,'Contribution Allocation_Report'!$A$9:$D$314,4,FALSE)*'OPEB Amounts_Report'!$E$326,0)</f>
        <v>14581</v>
      </c>
      <c r="F249" s="84">
        <f>ROUND(VLOOKUP(A249,'Contribution Allocation_Report'!$A$9:$D$314,4,FALSE)*'OPEB Amounts_Report'!$F$326,0)</f>
        <v>305236</v>
      </c>
      <c r="G249" s="84">
        <f>INDEX('Change in Proportion Layers'!$AF$8:$AF$324,MATCH('OPEB Amounts_Report'!A249,'Change in Proportion Layers'!$A$8:$A$324,0))</f>
        <v>275549</v>
      </c>
      <c r="H249" s="84">
        <f t="shared" si="15"/>
        <v>612847</v>
      </c>
      <c r="I249" s="84"/>
      <c r="J249" s="84">
        <f>ROUND(VLOOKUP(A249,'Contribution Allocation_Report'!$A$9:$D$314,4,FALSE)*'OPEB Amounts_Report'!$J$326,0)</f>
        <v>170384</v>
      </c>
      <c r="K249" s="84">
        <f>ROUND(VLOOKUP(A249,'Contribution Allocation_Report'!$A$9:$D$314,4,FALSE)*'OPEB Amounts_Report'!$K$326,0)</f>
        <v>1034395</v>
      </c>
      <c r="L249" s="251">
        <f>INDEX('Change in Proportion Layers'!$AG$8:$AG$324,MATCH('OPEB Amounts_Report'!A249,'Change in Proportion Layers'!$A$8:$A$324,0))</f>
        <v>50970</v>
      </c>
      <c r="M249" s="84">
        <f t="shared" si="13"/>
        <v>1255749</v>
      </c>
      <c r="N249" s="85"/>
      <c r="O249" s="85">
        <f>ROUND(VLOOKUP(A249,'Contribution Allocation_Report'!$A$9:$D$314,4,FALSE)*'OPEB Amounts_Report'!$O$326,0)</f>
        <v>-332039</v>
      </c>
      <c r="P249" s="85">
        <f>INDEX('Change in Proportion Layers'!$AD$8:$AD$324,MATCH('OPEB Amounts_Report'!A249,'Change in Proportion Layers'!$A$8:$A$324,0))</f>
        <v>84243</v>
      </c>
      <c r="Q249" s="85">
        <f t="shared" si="14"/>
        <v>-247796</v>
      </c>
    </row>
    <row r="250" spans="1:17" ht="12" customHeight="1">
      <c r="A250" s="59">
        <v>2396</v>
      </c>
      <c r="B250" s="60" t="s">
        <v>234</v>
      </c>
      <c r="C250" s="154">
        <f>ROUND(VLOOKUP(A250,'Contribution Allocation_Report'!$A$9:$D$314,4,FALSE)*'OPEB Amounts_Report'!$C$326,0)</f>
        <v>413952</v>
      </c>
      <c r="D250" s="154">
        <f>ROUND(VLOOKUP(A250,'Contribution Allocation_Report'!$A$9:$D$314,4,FALSE)*'OPEB Amounts_Report'!$D$326,0)</f>
        <v>4436</v>
      </c>
      <c r="E250" s="154">
        <f>ROUND(VLOOKUP(A250,'Contribution Allocation_Report'!$A$9:$D$314,4,FALSE)*'OPEB Amounts_Report'!$E$326,0)</f>
        <v>3700</v>
      </c>
      <c r="F250" s="154">
        <f>ROUND(VLOOKUP(A250,'Contribution Allocation_Report'!$A$9:$D$314,4,FALSE)*'OPEB Amounts_Report'!$F$326,0)</f>
        <v>77461</v>
      </c>
      <c r="G250" s="154">
        <f>INDEX('Change in Proportion Layers'!$AF$8:$AF$324,MATCH('OPEB Amounts_Report'!A250,'Change in Proportion Layers'!$A$8:$A$324,0))</f>
        <v>118572</v>
      </c>
      <c r="H250" s="154">
        <f t="shared" si="15"/>
        <v>204169</v>
      </c>
      <c r="I250" s="154"/>
      <c r="J250" s="154">
        <f>ROUND(VLOOKUP(A250,'Contribution Allocation_Report'!$A$9:$D$314,4,FALSE)*'OPEB Amounts_Report'!$J$326,0)</f>
        <v>43239</v>
      </c>
      <c r="K250" s="154">
        <f>ROUND(VLOOKUP(A250,'Contribution Allocation_Report'!$A$9:$D$314,4,FALSE)*'OPEB Amounts_Report'!$K$326,0)</f>
        <v>262502</v>
      </c>
      <c r="L250" s="156">
        <f>INDEX('Change in Proportion Layers'!$AG$8:$AG$324,MATCH('OPEB Amounts_Report'!A250,'Change in Proportion Layers'!$A$8:$A$324,0))</f>
        <v>83839</v>
      </c>
      <c r="M250" s="154">
        <f t="shared" si="13"/>
        <v>389580</v>
      </c>
      <c r="N250" s="155"/>
      <c r="O250" s="155">
        <f>ROUND(VLOOKUP(A250,'Contribution Allocation_Report'!$A$9:$D$314,4,FALSE)*'OPEB Amounts_Report'!$O$326,0)</f>
        <v>-84263</v>
      </c>
      <c r="P250" s="155">
        <f>INDEX('Change in Proportion Layers'!$AD$8:$AD$324,MATCH('OPEB Amounts_Report'!A250,'Change in Proportion Layers'!$A$8:$A$324,0))</f>
        <v>53089</v>
      </c>
      <c r="Q250" s="155">
        <f t="shared" si="14"/>
        <v>-31174</v>
      </c>
    </row>
    <row r="251" spans="1:17" s="190" customFormat="1" ht="12" customHeight="1">
      <c r="A251" s="227" t="s">
        <v>606</v>
      </c>
      <c r="B251" s="228" t="s">
        <v>484</v>
      </c>
      <c r="C251" s="84">
        <f>ROUND(VLOOKUP(A251,'Contribution Allocation_Report'!$A$9:$D$314,4,FALSE)*'OPEB Amounts_Report'!$C$326,0)</f>
        <v>2985221</v>
      </c>
      <c r="D251" s="84">
        <f>ROUND(VLOOKUP(A251,'Contribution Allocation_Report'!$A$9:$D$314,4,FALSE)*'OPEB Amounts_Report'!$D$326,0)</f>
        <v>31993</v>
      </c>
      <c r="E251" s="84">
        <f>ROUND(VLOOKUP(A251,'Contribution Allocation_Report'!$A$9:$D$314,4,FALSE)*'OPEB Amounts_Report'!$E$326,0)</f>
        <v>26685</v>
      </c>
      <c r="F251" s="84">
        <f>ROUND(VLOOKUP(A251,'Contribution Allocation_Report'!$A$9:$D$314,4,FALSE)*'OPEB Amounts_Report'!$F$326,0)</f>
        <v>558610</v>
      </c>
      <c r="G251" s="84">
        <f>INDEX('Change in Proportion Layers'!$AF$8:$AF$324,MATCH('OPEB Amounts_Report'!A251,'Change in Proportion Layers'!$A$8:$A$324,0))</f>
        <v>4484124</v>
      </c>
      <c r="H251" s="84">
        <f t="shared" ref="H251" si="16">SUM(D251:G251)</f>
        <v>5101412</v>
      </c>
      <c r="I251" s="84"/>
      <c r="J251" s="84">
        <f>ROUND(VLOOKUP(A251,'Contribution Allocation_Report'!$A$9:$D$314,4,FALSE)*'OPEB Amounts_Report'!$J$326,0)</f>
        <v>311819</v>
      </c>
      <c r="K251" s="84">
        <f>ROUND(VLOOKUP(A251,'Contribution Allocation_Report'!$A$9:$D$314,4,FALSE)*'OPEB Amounts_Report'!$K$326,0)</f>
        <v>1893039</v>
      </c>
      <c r="L251" s="84">
        <f>INDEX('Change in Proportion Layers'!$AG$8:$AG$324,MATCH('OPEB Amounts_Report'!A251,'Change in Proportion Layers'!$A$8:$A$324,0))</f>
        <v>0</v>
      </c>
      <c r="M251" s="84">
        <f t="shared" ref="M251" si="17">SUM(J251:L251)</f>
        <v>2204858</v>
      </c>
      <c r="N251" s="85"/>
      <c r="O251" s="85">
        <f>ROUND(VLOOKUP(A251,'Contribution Allocation_Report'!$A$9:$D$314,4,FALSE)*'OPEB Amounts_Report'!$O$326,0)</f>
        <v>-607662</v>
      </c>
      <c r="P251" s="85">
        <f>INDEX('Change in Proportion Layers'!$AD$8:$AD$324,MATCH('OPEB Amounts_Report'!A251,'Change in Proportion Layers'!$A$8:$A$324,0))</f>
        <v>909559</v>
      </c>
      <c r="Q251" s="85">
        <f t="shared" ref="Q251" si="18">+O251+P251</f>
        <v>301897</v>
      </c>
    </row>
    <row r="252" spans="1:17" ht="12" customHeight="1">
      <c r="A252" s="59">
        <v>3380</v>
      </c>
      <c r="B252" s="63" t="s">
        <v>235</v>
      </c>
      <c r="C252" s="67">
        <f>ROUND(VLOOKUP(A252,'Contribution Allocation_Report'!$A$9:$D$314,4,FALSE)*'OPEB Amounts_Report'!$C$326,0)</f>
        <v>278621</v>
      </c>
      <c r="D252" s="67">
        <f>ROUND(VLOOKUP(A252,'Contribution Allocation_Report'!$A$9:$D$314,4,FALSE)*'OPEB Amounts_Report'!$D$326,0)</f>
        <v>2986</v>
      </c>
      <c r="E252" s="67">
        <f>ROUND(VLOOKUP(A252,'Contribution Allocation_Report'!$A$9:$D$314,4,FALSE)*'OPEB Amounts_Report'!$E$326,0)</f>
        <v>2491</v>
      </c>
      <c r="F252" s="67">
        <f>ROUND(VLOOKUP(A252,'Contribution Allocation_Report'!$A$9:$D$314,4,FALSE)*'OPEB Amounts_Report'!$F$326,0)</f>
        <v>52137</v>
      </c>
      <c r="G252" s="67">
        <f>INDEX('Change in Proportion Layers'!$AF$8:$AF$324,MATCH('OPEB Amounts_Report'!A252,'Change in Proportion Layers'!$A$8:$A$324,0))</f>
        <v>24658</v>
      </c>
      <c r="H252" s="67">
        <f t="shared" si="15"/>
        <v>82272</v>
      </c>
      <c r="I252" s="67"/>
      <c r="J252" s="67">
        <f>ROUND(VLOOKUP(A252,'Contribution Allocation_Report'!$A$9:$D$314,4,FALSE)*'OPEB Amounts_Report'!$J$326,0)</f>
        <v>29103</v>
      </c>
      <c r="K252" s="67">
        <f>ROUND(VLOOKUP(A252,'Contribution Allocation_Report'!$A$9:$D$314,4,FALSE)*'OPEB Amounts_Report'!$K$326,0)</f>
        <v>176684</v>
      </c>
      <c r="L252" s="67">
        <f>INDEX('Change in Proportion Layers'!$AG$8:$AG$324,MATCH('OPEB Amounts_Report'!A252,'Change in Proportion Layers'!$A$8:$A$324,0))</f>
        <v>77119</v>
      </c>
      <c r="M252" s="67">
        <f t="shared" si="13"/>
        <v>282906</v>
      </c>
      <c r="N252" s="68"/>
      <c r="O252" s="68">
        <f>ROUND(VLOOKUP(A252,'Contribution Allocation_Report'!$A$9:$D$314,4,FALSE)*'OPEB Amounts_Report'!$O$326,0)</f>
        <v>-56715</v>
      </c>
      <c r="P252" s="68">
        <f>INDEX('Change in Proportion Layers'!$AD$8:$AD$324,MATCH('OPEB Amounts_Report'!A252,'Change in Proportion Layers'!$A$8:$A$324,0))</f>
        <v>-13481</v>
      </c>
      <c r="Q252" s="68">
        <f t="shared" si="14"/>
        <v>-70196</v>
      </c>
    </row>
    <row r="253" spans="1:17" ht="12" customHeight="1">
      <c r="A253" s="227">
        <v>2420</v>
      </c>
      <c r="B253" s="228" t="s">
        <v>236</v>
      </c>
      <c r="C253" s="84">
        <f>ROUND(VLOOKUP(A253,'Contribution Allocation_Report'!$A$9:$D$314,4,FALSE)*'OPEB Amounts_Report'!$C$326,0)</f>
        <v>474099</v>
      </c>
      <c r="D253" s="84">
        <f>ROUND(VLOOKUP(A253,'Contribution Allocation_Report'!$A$9:$D$314,4,FALSE)*'OPEB Amounts_Report'!$D$326,0)</f>
        <v>5081</v>
      </c>
      <c r="E253" s="84">
        <f>ROUND(VLOOKUP(A253,'Contribution Allocation_Report'!$A$9:$D$314,4,FALSE)*'OPEB Amounts_Report'!$E$326,0)</f>
        <v>4238</v>
      </c>
      <c r="F253" s="84">
        <f>ROUND(VLOOKUP(A253,'Contribution Allocation_Report'!$A$9:$D$314,4,FALSE)*'OPEB Amounts_Report'!$F$326,0)</f>
        <v>88716</v>
      </c>
      <c r="G253" s="84">
        <f>INDEX('Change in Proportion Layers'!$AF$8:$AF$324,MATCH('OPEB Amounts_Report'!A253,'Change in Proportion Layers'!$A$8:$A$324,0))</f>
        <v>74294</v>
      </c>
      <c r="H253" s="84">
        <f t="shared" si="15"/>
        <v>172329</v>
      </c>
      <c r="I253" s="84"/>
      <c r="J253" s="84">
        <f>ROUND(VLOOKUP(A253,'Contribution Allocation_Report'!$A$9:$D$314,4,FALSE)*'OPEB Amounts_Report'!$J$326,0)</f>
        <v>49522</v>
      </c>
      <c r="K253" s="84">
        <f>ROUND(VLOOKUP(A253,'Contribution Allocation_Report'!$A$9:$D$314,4,FALSE)*'OPEB Amounts_Report'!$K$326,0)</f>
        <v>300644</v>
      </c>
      <c r="L253" s="84">
        <f>INDEX('Change in Proportion Layers'!$AG$8:$AG$324,MATCH('OPEB Amounts_Report'!A253,'Change in Proportion Layers'!$A$8:$A$324,0))</f>
        <v>86354</v>
      </c>
      <c r="M253" s="84">
        <f t="shared" si="13"/>
        <v>436520</v>
      </c>
      <c r="N253" s="85"/>
      <c r="O253" s="85">
        <f>ROUND(VLOOKUP(A253,'Contribution Allocation_Report'!$A$9:$D$314,4,FALSE)*'OPEB Amounts_Report'!$O$326,0)</f>
        <v>-96506</v>
      </c>
      <c r="P253" s="85">
        <f>INDEX('Change in Proportion Layers'!$AD$8:$AD$324,MATCH('OPEB Amounts_Report'!A253,'Change in Proportion Layers'!$A$8:$A$324,0))</f>
        <v>-10961</v>
      </c>
      <c r="Q253" s="85">
        <f t="shared" si="14"/>
        <v>-107467</v>
      </c>
    </row>
    <row r="254" spans="1:17" ht="12" customHeight="1">
      <c r="A254" s="59">
        <v>2740</v>
      </c>
      <c r="B254" s="63" t="s">
        <v>237</v>
      </c>
      <c r="C254" s="67">
        <f>ROUND(VLOOKUP(A254,'Contribution Allocation_Report'!$A$9:$D$314,4,FALSE)*'OPEB Amounts_Report'!$C$326,0)</f>
        <v>49090</v>
      </c>
      <c r="D254" s="67">
        <f>ROUND(VLOOKUP(A254,'Contribution Allocation_Report'!$A$9:$D$314,4,FALSE)*'OPEB Amounts_Report'!$D$326,0)</f>
        <v>526</v>
      </c>
      <c r="E254" s="67">
        <f>ROUND(VLOOKUP(A254,'Contribution Allocation_Report'!$A$9:$D$314,4,FALSE)*'OPEB Amounts_Report'!$E$326,0)</f>
        <v>439</v>
      </c>
      <c r="F254" s="67">
        <f>ROUND(VLOOKUP(A254,'Contribution Allocation_Report'!$A$9:$D$314,4,FALSE)*'OPEB Amounts_Report'!$F$326,0)</f>
        <v>9186</v>
      </c>
      <c r="G254" s="67">
        <f>INDEX('Change in Proportion Layers'!$AF$8:$AF$324,MATCH('OPEB Amounts_Report'!A254,'Change in Proportion Layers'!$A$8:$A$324,0))</f>
        <v>32211</v>
      </c>
      <c r="H254" s="67">
        <f t="shared" si="15"/>
        <v>42362</v>
      </c>
      <c r="I254" s="67"/>
      <c r="J254" s="67">
        <f>ROUND(VLOOKUP(A254,'Contribution Allocation_Report'!$A$9:$D$314,4,FALSE)*'OPEB Amounts_Report'!$J$326,0)</f>
        <v>5128</v>
      </c>
      <c r="K254" s="67">
        <f>ROUND(VLOOKUP(A254,'Contribution Allocation_Report'!$A$9:$D$314,4,FALSE)*'OPEB Amounts_Report'!$K$326,0)</f>
        <v>31130</v>
      </c>
      <c r="L254" s="67">
        <f>INDEX('Change in Proportion Layers'!$AG$8:$AG$324,MATCH('OPEB Amounts_Report'!A254,'Change in Proportion Layers'!$A$8:$A$324,0))</f>
        <v>67981</v>
      </c>
      <c r="M254" s="67">
        <f t="shared" si="13"/>
        <v>104239</v>
      </c>
      <c r="N254" s="68"/>
      <c r="O254" s="68">
        <f>ROUND(VLOOKUP(A254,'Contribution Allocation_Report'!$A$9:$D$314,4,FALSE)*'OPEB Amounts_Report'!$O$326,0)</f>
        <v>-9993</v>
      </c>
      <c r="P254" s="68">
        <f>INDEX('Change in Proportion Layers'!$AD$8:$AD$324,MATCH('OPEB Amounts_Report'!A254,'Change in Proportion Layers'!$A$8:$A$324,0))</f>
        <v>-8427</v>
      </c>
      <c r="Q254" s="68">
        <f t="shared" si="14"/>
        <v>-18420</v>
      </c>
    </row>
    <row r="255" spans="1:17" ht="12" customHeight="1">
      <c r="A255" s="227">
        <v>2346</v>
      </c>
      <c r="B255" s="228" t="s">
        <v>238</v>
      </c>
      <c r="C255" s="84">
        <f>ROUND(VLOOKUP(A255,'Contribution Allocation_Report'!$A$9:$D$314,4,FALSE)*'OPEB Amounts_Report'!$C$326,0)</f>
        <v>307111</v>
      </c>
      <c r="D255" s="84">
        <f>ROUND(VLOOKUP(A255,'Contribution Allocation_Report'!$A$9:$D$314,4,FALSE)*'OPEB Amounts_Report'!$D$326,0)</f>
        <v>3291</v>
      </c>
      <c r="E255" s="84">
        <f>ROUND(VLOOKUP(A255,'Contribution Allocation_Report'!$A$9:$D$314,4,FALSE)*'OPEB Amounts_Report'!$E$326,0)</f>
        <v>2745</v>
      </c>
      <c r="F255" s="84">
        <f>ROUND(VLOOKUP(A255,'Contribution Allocation_Report'!$A$9:$D$314,4,FALSE)*'OPEB Amounts_Report'!$F$326,0)</f>
        <v>57468</v>
      </c>
      <c r="G255" s="84">
        <f>INDEX('Change in Proportion Layers'!$AF$8:$AF$324,MATCH('OPEB Amounts_Report'!A255,'Change in Proportion Layers'!$A$8:$A$324,0))</f>
        <v>60373</v>
      </c>
      <c r="H255" s="84">
        <f t="shared" si="15"/>
        <v>123877</v>
      </c>
      <c r="I255" s="84"/>
      <c r="J255" s="84">
        <f>ROUND(VLOOKUP(A255,'Contribution Allocation_Report'!$A$9:$D$314,4,FALSE)*'OPEB Amounts_Report'!$J$326,0)</f>
        <v>32079</v>
      </c>
      <c r="K255" s="84">
        <f>ROUND(VLOOKUP(A255,'Contribution Allocation_Report'!$A$9:$D$314,4,FALSE)*'OPEB Amounts_Report'!$K$326,0)</f>
        <v>194751</v>
      </c>
      <c r="L255" s="251">
        <f>INDEX('Change in Proportion Layers'!$AG$8:$AG$324,MATCH('OPEB Amounts_Report'!A255,'Change in Proportion Layers'!$A$8:$A$324,0))</f>
        <v>111522</v>
      </c>
      <c r="M255" s="84">
        <f t="shared" si="13"/>
        <v>338352</v>
      </c>
      <c r="N255" s="85"/>
      <c r="O255" s="85">
        <f>ROUND(VLOOKUP(A255,'Contribution Allocation_Report'!$A$9:$D$314,4,FALSE)*'OPEB Amounts_Report'!$O$326,0)</f>
        <v>-62515</v>
      </c>
      <c r="P255" s="85">
        <f>INDEX('Change in Proportion Layers'!$AD$8:$AD$324,MATCH('OPEB Amounts_Report'!A255,'Change in Proportion Layers'!$A$8:$A$324,0))</f>
        <v>11918</v>
      </c>
      <c r="Q255" s="85">
        <f t="shared" si="14"/>
        <v>-50597</v>
      </c>
    </row>
    <row r="256" spans="1:17" ht="12" customHeight="1">
      <c r="A256" s="59">
        <v>21150</v>
      </c>
      <c r="B256" s="63" t="s">
        <v>239</v>
      </c>
      <c r="C256" s="67">
        <f>ROUND(VLOOKUP(A256,'Contribution Allocation_Report'!$A$9:$D$314,4,FALSE)*'OPEB Amounts_Report'!$C$326,0)</f>
        <v>1378798</v>
      </c>
      <c r="D256" s="67">
        <f>ROUND(VLOOKUP(A256,'Contribution Allocation_Report'!$A$9:$D$314,4,FALSE)*'OPEB Amounts_Report'!$D$326,0)</f>
        <v>14777</v>
      </c>
      <c r="E256" s="67">
        <f>ROUND(VLOOKUP(A256,'Contribution Allocation_Report'!$A$9:$D$314,4,FALSE)*'OPEB Amounts_Report'!$E$326,0)</f>
        <v>12325</v>
      </c>
      <c r="F256" s="67">
        <f>ROUND(VLOOKUP(A256,'Contribution Allocation_Report'!$A$9:$D$314,4,FALSE)*'OPEB Amounts_Report'!$F$326,0)</f>
        <v>258008</v>
      </c>
      <c r="G256" s="250">
        <f>INDEX('Change in Proportion Layers'!$AF$8:$AF$324,MATCH('OPEB Amounts_Report'!A256,'Change in Proportion Layers'!$A$8:$A$324,0))</f>
        <v>871445</v>
      </c>
      <c r="H256" s="67">
        <f t="shared" si="15"/>
        <v>1156555</v>
      </c>
      <c r="I256" s="67"/>
      <c r="J256" s="67">
        <f>ROUND(VLOOKUP(A256,'Contribution Allocation_Report'!$A$9:$D$314,4,FALSE)*'OPEB Amounts_Report'!$J$326,0)</f>
        <v>144021</v>
      </c>
      <c r="K256" s="67">
        <f>ROUND(VLOOKUP(A256,'Contribution Allocation_Report'!$A$9:$D$314,4,FALSE)*'OPEB Amounts_Report'!$K$326,0)</f>
        <v>874347</v>
      </c>
      <c r="L256" s="67">
        <f>INDEX('Change in Proportion Layers'!$AG$8:$AG$324,MATCH('OPEB Amounts_Report'!A256,'Change in Proportion Layers'!$A$8:$A$324,0))</f>
        <v>15822</v>
      </c>
      <c r="M256" s="67">
        <f t="shared" si="13"/>
        <v>1034190</v>
      </c>
      <c r="N256" s="68"/>
      <c r="O256" s="68">
        <f>ROUND(VLOOKUP(A256,'Contribution Allocation_Report'!$A$9:$D$314,4,FALSE)*'OPEB Amounts_Report'!$O$326,0)</f>
        <v>-280663</v>
      </c>
      <c r="P256" s="68">
        <f>INDEX('Change in Proportion Layers'!$AD$8:$AD$324,MATCH('OPEB Amounts_Report'!A256,'Change in Proportion Layers'!$A$8:$A$324,0))</f>
        <v>220616</v>
      </c>
      <c r="Q256" s="68">
        <f t="shared" si="14"/>
        <v>-60047</v>
      </c>
    </row>
    <row r="257" spans="1:17" ht="12" customHeight="1">
      <c r="A257" s="227">
        <v>32098</v>
      </c>
      <c r="B257" s="228" t="s">
        <v>240</v>
      </c>
      <c r="C257" s="84">
        <f>ROUND(VLOOKUP(A257,'Contribution Allocation_Report'!$A$9:$D$314,4,FALSE)*'OPEB Amounts_Report'!$C$326,0)</f>
        <v>312703</v>
      </c>
      <c r="D257" s="84">
        <f>ROUND(VLOOKUP(A257,'Contribution Allocation_Report'!$A$9:$D$314,4,FALSE)*'OPEB Amounts_Report'!$D$326,0)</f>
        <v>3351</v>
      </c>
      <c r="E257" s="84">
        <f>ROUND(VLOOKUP(A257,'Contribution Allocation_Report'!$A$9:$D$314,4,FALSE)*'OPEB Amounts_Report'!$E$326,0)</f>
        <v>2795</v>
      </c>
      <c r="F257" s="84">
        <f>ROUND(VLOOKUP(A257,'Contribution Allocation_Report'!$A$9:$D$314,4,FALSE)*'OPEB Amounts_Report'!$F$326,0)</f>
        <v>58514</v>
      </c>
      <c r="G257" s="84">
        <f>INDEX('Change in Proportion Layers'!$AF$8:$AF$324,MATCH('OPEB Amounts_Report'!A257,'Change in Proportion Layers'!$A$8:$A$324,0))</f>
        <v>89898</v>
      </c>
      <c r="H257" s="84">
        <f t="shared" si="15"/>
        <v>154558</v>
      </c>
      <c r="I257" s="84"/>
      <c r="J257" s="84">
        <f>ROUND(VLOOKUP(A257,'Contribution Allocation_Report'!$A$9:$D$314,4,FALSE)*'OPEB Amounts_Report'!$J$326,0)</f>
        <v>32663</v>
      </c>
      <c r="K257" s="84">
        <f>ROUND(VLOOKUP(A257,'Contribution Allocation_Report'!$A$9:$D$314,4,FALSE)*'OPEB Amounts_Report'!$K$326,0)</f>
        <v>198296</v>
      </c>
      <c r="L257" s="251">
        <f>INDEX('Change in Proportion Layers'!$AG$8:$AG$324,MATCH('OPEB Amounts_Report'!A257,'Change in Proportion Layers'!$A$8:$A$324,0))</f>
        <v>252924</v>
      </c>
      <c r="M257" s="84">
        <f t="shared" si="13"/>
        <v>483883</v>
      </c>
      <c r="N257" s="85"/>
      <c r="O257" s="85">
        <f>ROUND(VLOOKUP(A257,'Contribution Allocation_Report'!$A$9:$D$314,4,FALSE)*'OPEB Amounts_Report'!$O$326,0)</f>
        <v>-63653</v>
      </c>
      <c r="P257" s="85">
        <f>INDEX('Change in Proportion Layers'!$AD$8:$AD$324,MATCH('OPEB Amounts_Report'!A257,'Change in Proportion Layers'!$A$8:$A$324,0))</f>
        <v>-60618</v>
      </c>
      <c r="Q257" s="85">
        <f t="shared" si="14"/>
        <v>-124271</v>
      </c>
    </row>
    <row r="258" spans="1:17" ht="12" customHeight="1">
      <c r="A258" s="59">
        <v>4520</v>
      </c>
      <c r="B258" s="63" t="s">
        <v>241</v>
      </c>
      <c r="C258" s="67">
        <f>ROUND(VLOOKUP(A258,'Contribution Allocation_Report'!$A$9:$D$314,4,FALSE)*'OPEB Amounts_Report'!$C$326,0)</f>
        <v>48964</v>
      </c>
      <c r="D258" s="67">
        <f>ROUND(VLOOKUP(A258,'Contribution Allocation_Report'!$A$9:$D$314,4,FALSE)*'OPEB Amounts_Report'!$D$326,0)</f>
        <v>525</v>
      </c>
      <c r="E258" s="67">
        <f>ROUND(VLOOKUP(A258,'Contribution Allocation_Report'!$A$9:$D$314,4,FALSE)*'OPEB Amounts_Report'!$E$326,0)</f>
        <v>438</v>
      </c>
      <c r="F258" s="67">
        <f>ROUND(VLOOKUP(A258,'Contribution Allocation_Report'!$A$9:$D$314,4,FALSE)*'OPEB Amounts_Report'!$F$326,0)</f>
        <v>9162</v>
      </c>
      <c r="G258" s="250">
        <f>INDEX('Change in Proportion Layers'!$AF$8:$AF$324,MATCH('OPEB Amounts_Report'!A258,'Change in Proportion Layers'!$A$8:$A$324,0))</f>
        <v>4927</v>
      </c>
      <c r="H258" s="67">
        <f t="shared" si="15"/>
        <v>15052</v>
      </c>
      <c r="I258" s="67"/>
      <c r="J258" s="67">
        <f>ROUND(VLOOKUP(A258,'Contribution Allocation_Report'!$A$9:$D$314,4,FALSE)*'OPEB Amounts_Report'!$J$326,0)</f>
        <v>5115</v>
      </c>
      <c r="K258" s="67">
        <f>ROUND(VLOOKUP(A258,'Contribution Allocation_Report'!$A$9:$D$314,4,FALSE)*'OPEB Amounts_Report'!$K$326,0)</f>
        <v>31050</v>
      </c>
      <c r="L258" s="67">
        <f>INDEX('Change in Proportion Layers'!$AG$8:$AG$324,MATCH('OPEB Amounts_Report'!A258,'Change in Proportion Layers'!$A$8:$A$324,0))</f>
        <v>10237</v>
      </c>
      <c r="M258" s="67">
        <f t="shared" si="13"/>
        <v>46402</v>
      </c>
      <c r="N258" s="68"/>
      <c r="O258" s="68">
        <f>ROUND(VLOOKUP(A258,'Contribution Allocation_Report'!$A$9:$D$314,4,FALSE)*'OPEB Amounts_Report'!$O$326,0)</f>
        <v>-9967</v>
      </c>
      <c r="P258" s="68">
        <f>INDEX('Change in Proportion Layers'!$AD$8:$AD$324,MATCH('OPEB Amounts_Report'!A258,'Change in Proportion Layers'!$A$8:$A$324,0))</f>
        <v>72</v>
      </c>
      <c r="Q258" s="68">
        <f t="shared" si="14"/>
        <v>-9895</v>
      </c>
    </row>
    <row r="259" spans="1:17" ht="12" customHeight="1">
      <c r="A259" s="227">
        <v>9030</v>
      </c>
      <c r="B259" s="228" t="s">
        <v>242</v>
      </c>
      <c r="C259" s="84">
        <f>ROUND(VLOOKUP(A259,'Contribution Allocation_Report'!$A$9:$D$314,4,FALSE)*'OPEB Amounts_Report'!$C$326,0)</f>
        <v>473006</v>
      </c>
      <c r="D259" s="84">
        <f>ROUND(VLOOKUP(A259,'Contribution Allocation_Report'!$A$9:$D$314,4,FALSE)*'OPEB Amounts_Report'!$D$326,0)</f>
        <v>5069</v>
      </c>
      <c r="E259" s="84">
        <f>ROUND(VLOOKUP(A259,'Contribution Allocation_Report'!$A$9:$D$314,4,FALSE)*'OPEB Amounts_Report'!$E$326,0)</f>
        <v>4228</v>
      </c>
      <c r="F259" s="84">
        <f>ROUND(VLOOKUP(A259,'Contribution Allocation_Report'!$A$9:$D$314,4,FALSE)*'OPEB Amounts_Report'!$F$326,0)</f>
        <v>88511</v>
      </c>
      <c r="G259" s="84">
        <f>INDEX('Change in Proportion Layers'!$AF$8:$AF$324,MATCH('OPEB Amounts_Report'!A259,'Change in Proportion Layers'!$A$8:$A$324,0))</f>
        <v>6127</v>
      </c>
      <c r="H259" s="84">
        <f t="shared" si="15"/>
        <v>103935</v>
      </c>
      <c r="I259" s="84"/>
      <c r="J259" s="84">
        <f>ROUND(VLOOKUP(A259,'Contribution Allocation_Report'!$A$9:$D$314,4,FALSE)*'OPEB Amounts_Report'!$J$326,0)</f>
        <v>49408</v>
      </c>
      <c r="K259" s="84">
        <f>ROUND(VLOOKUP(A259,'Contribution Allocation_Report'!$A$9:$D$314,4,FALSE)*'OPEB Amounts_Report'!$K$326,0)</f>
        <v>299950</v>
      </c>
      <c r="L259" s="251">
        <f>INDEX('Change in Proportion Layers'!$AG$8:$AG$324,MATCH('OPEB Amounts_Report'!A259,'Change in Proportion Layers'!$A$8:$A$324,0))</f>
        <v>75447</v>
      </c>
      <c r="M259" s="84">
        <f t="shared" si="13"/>
        <v>424805</v>
      </c>
      <c r="N259" s="85"/>
      <c r="O259" s="85">
        <f>ROUND(VLOOKUP(A259,'Contribution Allocation_Report'!$A$9:$D$314,4,FALSE)*'OPEB Amounts_Report'!$O$326,0)</f>
        <v>-96283</v>
      </c>
      <c r="P259" s="85">
        <f>INDEX('Change in Proportion Layers'!$AD$8:$AD$324,MATCH('OPEB Amounts_Report'!A259,'Change in Proportion Layers'!$A$8:$A$324,0))</f>
        <v>-31252</v>
      </c>
      <c r="Q259" s="85">
        <f t="shared" si="14"/>
        <v>-127535</v>
      </c>
    </row>
    <row r="260" spans="1:17" ht="12" customHeight="1">
      <c r="A260" s="59">
        <v>20265</v>
      </c>
      <c r="B260" s="63" t="s">
        <v>243</v>
      </c>
      <c r="C260" s="67">
        <f>ROUND(VLOOKUP(A260,'Contribution Allocation_Report'!$A$9:$D$314,4,FALSE)*'OPEB Amounts_Report'!$C$326,0)</f>
        <v>681236</v>
      </c>
      <c r="D260" s="67">
        <f>ROUND(VLOOKUP(A260,'Contribution Allocation_Report'!$A$9:$D$314,4,FALSE)*'OPEB Amounts_Report'!$D$326,0)</f>
        <v>7301</v>
      </c>
      <c r="E260" s="67">
        <f>ROUND(VLOOKUP(A260,'Contribution Allocation_Report'!$A$9:$D$314,4,FALSE)*'OPEB Amounts_Report'!$E$326,0)</f>
        <v>6090</v>
      </c>
      <c r="F260" s="67">
        <f>ROUND(VLOOKUP(A260,'Contribution Allocation_Report'!$A$9:$D$314,4,FALSE)*'OPEB Amounts_Report'!$F$326,0)</f>
        <v>127476</v>
      </c>
      <c r="G260" s="67">
        <f>INDEX('Change in Proportion Layers'!$AF$8:$AF$324,MATCH('OPEB Amounts_Report'!A260,'Change in Proportion Layers'!$A$8:$A$324,0))</f>
        <v>274306</v>
      </c>
      <c r="H260" s="67">
        <f t="shared" si="15"/>
        <v>415173</v>
      </c>
      <c r="I260" s="67"/>
      <c r="J260" s="67">
        <f>ROUND(VLOOKUP(A260,'Contribution Allocation_Report'!$A$9:$D$314,4,FALSE)*'OPEB Amounts_Report'!$J$326,0)</f>
        <v>71158</v>
      </c>
      <c r="K260" s="67">
        <f>ROUND(VLOOKUP(A260,'Contribution Allocation_Report'!$A$9:$D$314,4,FALSE)*'OPEB Amounts_Report'!$K$326,0)</f>
        <v>431997</v>
      </c>
      <c r="L260" s="67">
        <f>INDEX('Change in Proportion Layers'!$AG$8:$AG$324,MATCH('OPEB Amounts_Report'!A260,'Change in Proportion Layers'!$A$8:$A$324,0))</f>
        <v>67463</v>
      </c>
      <c r="M260" s="67">
        <f t="shared" si="13"/>
        <v>570618</v>
      </c>
      <c r="N260" s="68"/>
      <c r="O260" s="68">
        <f>ROUND(VLOOKUP(A260,'Contribution Allocation_Report'!$A$9:$D$314,4,FALSE)*'OPEB Amounts_Report'!$O$326,0)</f>
        <v>-138670</v>
      </c>
      <c r="P260" s="68">
        <f>INDEX('Change in Proportion Layers'!$AD$8:$AD$324,MATCH('OPEB Amounts_Report'!A260,'Change in Proportion Layers'!$A$8:$A$324,0))</f>
        <v>64806</v>
      </c>
      <c r="Q260" s="68">
        <f t="shared" si="14"/>
        <v>-73864</v>
      </c>
    </row>
    <row r="261" spans="1:17" ht="12" customHeight="1">
      <c r="A261" s="227">
        <v>20307</v>
      </c>
      <c r="B261" s="228" t="s">
        <v>244</v>
      </c>
      <c r="C261" s="84">
        <f>ROUND(VLOOKUP(A261,'Contribution Allocation_Report'!$A$9:$D$314,4,FALSE)*'OPEB Amounts_Report'!$C$326,0)</f>
        <v>572643</v>
      </c>
      <c r="D261" s="84">
        <f>ROUND(VLOOKUP(A261,'Contribution Allocation_Report'!$A$9:$D$314,4,FALSE)*'OPEB Amounts_Report'!$D$326,0)</f>
        <v>6137</v>
      </c>
      <c r="E261" s="84">
        <f>ROUND(VLOOKUP(A261,'Contribution Allocation_Report'!$A$9:$D$314,4,FALSE)*'OPEB Amounts_Report'!$E$326,0)</f>
        <v>5119</v>
      </c>
      <c r="F261" s="84">
        <f>ROUND(VLOOKUP(A261,'Contribution Allocation_Report'!$A$9:$D$314,4,FALSE)*'OPEB Amounts_Report'!$F$326,0)</f>
        <v>107156</v>
      </c>
      <c r="G261" s="84">
        <f>INDEX('Change in Proportion Layers'!$AF$8:$AF$324,MATCH('OPEB Amounts_Report'!A261,'Change in Proportion Layers'!$A$8:$A$324,0))</f>
        <v>179152</v>
      </c>
      <c r="H261" s="84">
        <f t="shared" si="15"/>
        <v>297564</v>
      </c>
      <c r="I261" s="84"/>
      <c r="J261" s="84">
        <f>ROUND(VLOOKUP(A261,'Contribution Allocation_Report'!$A$9:$D$314,4,FALSE)*'OPEB Amounts_Report'!$J$326,0)</f>
        <v>59815</v>
      </c>
      <c r="K261" s="84">
        <f>ROUND(VLOOKUP(A261,'Contribution Allocation_Report'!$A$9:$D$314,4,FALSE)*'OPEB Amounts_Report'!$K$326,0)</f>
        <v>363134</v>
      </c>
      <c r="L261" s="84">
        <f>INDEX('Change in Proportion Layers'!$AG$8:$AG$324,MATCH('OPEB Amounts_Report'!A261,'Change in Proportion Layers'!$A$8:$A$324,0))</f>
        <v>0</v>
      </c>
      <c r="M261" s="84">
        <f t="shared" si="13"/>
        <v>422949</v>
      </c>
      <c r="N261" s="85"/>
      <c r="O261" s="85">
        <f>ROUND(VLOOKUP(A261,'Contribution Allocation_Report'!$A$9:$D$314,4,FALSE)*'OPEB Amounts_Report'!$O$326,0)</f>
        <v>-116565</v>
      </c>
      <c r="P261" s="85">
        <f>INDEX('Change in Proportion Layers'!$AD$8:$AD$324,MATCH('OPEB Amounts_Report'!A261,'Change in Proportion Layers'!$A$8:$A$324,0))</f>
        <v>45029</v>
      </c>
      <c r="Q261" s="85">
        <f t="shared" si="14"/>
        <v>-71536</v>
      </c>
    </row>
    <row r="262" spans="1:17" ht="12" customHeight="1">
      <c r="A262" s="59">
        <v>3320</v>
      </c>
      <c r="B262" s="63" t="s">
        <v>245</v>
      </c>
      <c r="C262" s="67">
        <f>ROUND(VLOOKUP(A262,'Contribution Allocation_Report'!$A$9:$D$314,4,FALSE)*'OPEB Amounts_Report'!$C$326,0)</f>
        <v>3547144</v>
      </c>
      <c r="D262" s="67">
        <f>ROUND(VLOOKUP(A262,'Contribution Allocation_Report'!$A$9:$D$314,4,FALSE)*'OPEB Amounts_Report'!$D$326,0)</f>
        <v>38015</v>
      </c>
      <c r="E262" s="67">
        <f>ROUND(VLOOKUP(A262,'Contribution Allocation_Report'!$A$9:$D$314,4,FALSE)*'OPEB Amounts_Report'!$E$326,0)</f>
        <v>31708</v>
      </c>
      <c r="F262" s="67">
        <f>ROUND(VLOOKUP(A262,'Contribution Allocation_Report'!$A$9:$D$314,4,FALSE)*'OPEB Amounts_Report'!$F$326,0)</f>
        <v>663759</v>
      </c>
      <c r="G262" s="67">
        <f>INDEX('Change in Proportion Layers'!$AF$8:$AF$324,MATCH('OPEB Amounts_Report'!A262,'Change in Proportion Layers'!$A$8:$A$324,0))</f>
        <v>784203</v>
      </c>
      <c r="H262" s="67">
        <f t="shared" si="15"/>
        <v>1517685</v>
      </c>
      <c r="I262" s="67"/>
      <c r="J262" s="67">
        <f>ROUND(VLOOKUP(A262,'Contribution Allocation_Report'!$A$9:$D$314,4,FALSE)*'OPEB Amounts_Report'!$J$326,0)</f>
        <v>370515</v>
      </c>
      <c r="K262" s="67">
        <f>ROUND(VLOOKUP(A262,'Contribution Allocation_Report'!$A$9:$D$314,4,FALSE)*'OPEB Amounts_Report'!$K$326,0)</f>
        <v>2249375</v>
      </c>
      <c r="L262" s="250">
        <f>INDEX('Change in Proportion Layers'!$AG$8:$AG$324,MATCH('OPEB Amounts_Report'!A262,'Change in Proportion Layers'!$A$8:$A$324,0))</f>
        <v>756412</v>
      </c>
      <c r="M262" s="67">
        <f t="shared" si="13"/>
        <v>3376302</v>
      </c>
      <c r="N262" s="68"/>
      <c r="O262" s="68">
        <f>ROUND(VLOOKUP(A262,'Contribution Allocation_Report'!$A$9:$D$314,4,FALSE)*'OPEB Amounts_Report'!$O$326,0)</f>
        <v>-722045</v>
      </c>
      <c r="P262" s="68">
        <f>INDEX('Change in Proportion Layers'!$AD$8:$AD$324,MATCH('OPEB Amounts_Report'!A262,'Change in Proportion Layers'!$A$8:$A$324,0))</f>
        <v>-225949</v>
      </c>
      <c r="Q262" s="68">
        <f t="shared" si="14"/>
        <v>-947994</v>
      </c>
    </row>
    <row r="263" spans="1:17" ht="12" customHeight="1">
      <c r="A263" s="227">
        <v>20415</v>
      </c>
      <c r="B263" s="228" t="s">
        <v>246</v>
      </c>
      <c r="C263" s="84">
        <f>ROUND(VLOOKUP(A263,'Contribution Allocation_Report'!$A$9:$D$314,4,FALSE)*'OPEB Amounts_Report'!$C$326,0)</f>
        <v>420735</v>
      </c>
      <c r="D263" s="84">
        <f>ROUND(VLOOKUP(A263,'Contribution Allocation_Report'!$A$9:$D$314,4,FALSE)*'OPEB Amounts_Report'!$D$326,0)</f>
        <v>4509</v>
      </c>
      <c r="E263" s="84">
        <f>ROUND(VLOOKUP(A263,'Contribution Allocation_Report'!$A$9:$D$314,4,FALSE)*'OPEB Amounts_Report'!$E$326,0)</f>
        <v>3761</v>
      </c>
      <c r="F263" s="84">
        <f>ROUND(VLOOKUP(A263,'Contribution Allocation_Report'!$A$9:$D$314,4,FALSE)*'OPEB Amounts_Report'!$F$326,0)</f>
        <v>78730</v>
      </c>
      <c r="G263" s="84">
        <f>INDEX('Change in Proportion Layers'!$AF$8:$AF$324,MATCH('OPEB Amounts_Report'!A263,'Change in Proportion Layers'!$A$8:$A$324,0))</f>
        <v>148925</v>
      </c>
      <c r="H263" s="84">
        <f t="shared" si="15"/>
        <v>235925</v>
      </c>
      <c r="I263" s="84"/>
      <c r="J263" s="84">
        <f>ROUND(VLOOKUP(A263,'Contribution Allocation_Report'!$A$9:$D$314,4,FALSE)*'OPEB Amounts_Report'!$J$326,0)</f>
        <v>43948</v>
      </c>
      <c r="K263" s="84">
        <f>ROUND(VLOOKUP(A263,'Contribution Allocation_Report'!$A$9:$D$314,4,FALSE)*'OPEB Amounts_Report'!$K$326,0)</f>
        <v>266803</v>
      </c>
      <c r="L263" s="84">
        <f>INDEX('Change in Proportion Layers'!$AG$8:$AG$324,MATCH('OPEB Amounts_Report'!A263,'Change in Proportion Layers'!$A$8:$A$324,0))</f>
        <v>51636</v>
      </c>
      <c r="M263" s="84">
        <f t="shared" si="13"/>
        <v>362387</v>
      </c>
      <c r="N263" s="85"/>
      <c r="O263" s="85">
        <f>ROUND(VLOOKUP(A263,'Contribution Allocation_Report'!$A$9:$D$314,4,FALSE)*'OPEB Amounts_Report'!$O$326,0)</f>
        <v>-85643</v>
      </c>
      <c r="P263" s="85">
        <f>INDEX('Change in Proportion Layers'!$AD$8:$AD$324,MATCH('OPEB Amounts_Report'!A263,'Change in Proportion Layers'!$A$8:$A$324,0))</f>
        <v>44287</v>
      </c>
      <c r="Q263" s="85">
        <f t="shared" si="14"/>
        <v>-41356</v>
      </c>
    </row>
    <row r="264" spans="1:17" ht="12" customHeight="1">
      <c r="A264" s="59">
        <v>20435</v>
      </c>
      <c r="B264" s="63" t="s">
        <v>418</v>
      </c>
      <c r="C264" s="67">
        <f>ROUND(VLOOKUP(A264,'Contribution Allocation_Report'!$A$9:$D$314,4,FALSE)*'OPEB Amounts_Report'!$C$326,0)</f>
        <v>472627</v>
      </c>
      <c r="D264" s="67">
        <f>ROUND(VLOOKUP(A264,'Contribution Allocation_Report'!$A$9:$D$314,4,FALSE)*'OPEB Amounts_Report'!$D$326,0)</f>
        <v>5065</v>
      </c>
      <c r="E264" s="67">
        <f>ROUND(VLOOKUP(A264,'Contribution Allocation_Report'!$A$9:$D$314,4,FALSE)*'OPEB Amounts_Report'!$E$326,0)</f>
        <v>4225</v>
      </c>
      <c r="F264" s="67">
        <f>ROUND(VLOOKUP(A264,'Contribution Allocation_Report'!$A$9:$D$314,4,FALSE)*'OPEB Amounts_Report'!$F$326,0)</f>
        <v>88440</v>
      </c>
      <c r="G264" s="67">
        <f>INDEX('Change in Proportion Layers'!$AF$8:$AF$324,MATCH('OPEB Amounts_Report'!A264,'Change in Proportion Layers'!$A$8:$A$324,0))</f>
        <v>235183</v>
      </c>
      <c r="H264" s="67">
        <f t="shared" si="15"/>
        <v>332913</v>
      </c>
      <c r="I264" s="67"/>
      <c r="J264" s="67">
        <f>ROUND(VLOOKUP(A264,'Contribution Allocation_Report'!$A$9:$D$314,4,FALSE)*'OPEB Amounts_Report'!$J$326,0)</f>
        <v>49368</v>
      </c>
      <c r="K264" s="67">
        <f>ROUND(VLOOKUP(A264,'Contribution Allocation_Report'!$A$9:$D$314,4,FALSE)*'OPEB Amounts_Report'!$K$326,0)</f>
        <v>299710</v>
      </c>
      <c r="L264" s="67">
        <f>INDEX('Change in Proportion Layers'!$AG$8:$AG$324,MATCH('OPEB Amounts_Report'!A264,'Change in Proportion Layers'!$A$8:$A$324,0))</f>
        <v>154230</v>
      </c>
      <c r="M264" s="67">
        <f t="shared" si="13"/>
        <v>503308</v>
      </c>
      <c r="N264" s="68"/>
      <c r="O264" s="68">
        <f>ROUND(VLOOKUP(A264,'Contribution Allocation_Report'!$A$9:$D$314,4,FALSE)*'OPEB Amounts_Report'!$O$326,0)</f>
        <v>-96206</v>
      </c>
      <c r="P264" s="68">
        <f>INDEX('Change in Proportion Layers'!$AD$8:$AD$324,MATCH('OPEB Amounts_Report'!A264,'Change in Proportion Layers'!$A$8:$A$324,0))</f>
        <v>28210</v>
      </c>
      <c r="Q264" s="68">
        <f t="shared" si="14"/>
        <v>-67996</v>
      </c>
    </row>
    <row r="265" spans="1:17" ht="12" customHeight="1">
      <c r="A265" s="227">
        <v>20062</v>
      </c>
      <c r="B265" s="228" t="s">
        <v>247</v>
      </c>
      <c r="C265" s="84">
        <f>ROUND(VLOOKUP(A265,'Contribution Allocation_Report'!$A$9:$D$314,4,FALSE)*'OPEB Amounts_Report'!$C$326,0)</f>
        <v>4686041</v>
      </c>
      <c r="D265" s="84">
        <f>ROUND(VLOOKUP(A265,'Contribution Allocation_Report'!$A$9:$D$314,4,FALSE)*'OPEB Amounts_Report'!$D$326,0)</f>
        <v>50220</v>
      </c>
      <c r="E265" s="84">
        <f>ROUND(VLOOKUP(A265,'Contribution Allocation_Report'!$A$9:$D$314,4,FALSE)*'OPEB Amounts_Report'!$E$326,0)</f>
        <v>41889</v>
      </c>
      <c r="F265" s="84">
        <f>ROUND(VLOOKUP(A265,'Contribution Allocation_Report'!$A$9:$D$314,4,FALSE)*'OPEB Amounts_Report'!$F$326,0)</f>
        <v>876876</v>
      </c>
      <c r="G265" s="84">
        <f>INDEX('Change in Proportion Layers'!$AF$8:$AF$324,MATCH('OPEB Amounts_Report'!A265,'Change in Proportion Layers'!$A$8:$A$324,0))</f>
        <v>205665</v>
      </c>
      <c r="H265" s="84">
        <f t="shared" si="15"/>
        <v>1174650</v>
      </c>
      <c r="I265" s="84"/>
      <c r="J265" s="84">
        <f>ROUND(VLOOKUP(A265,'Contribution Allocation_Report'!$A$9:$D$314,4,FALSE)*'OPEB Amounts_Report'!$J$326,0)</f>
        <v>489477</v>
      </c>
      <c r="K265" s="84">
        <f>ROUND(VLOOKUP(A265,'Contribution Allocation_Report'!$A$9:$D$314,4,FALSE)*'OPEB Amounts_Report'!$K$326,0)</f>
        <v>2971591</v>
      </c>
      <c r="L265" s="84">
        <f>INDEX('Change in Proportion Layers'!$AG$8:$AG$324,MATCH('OPEB Amounts_Report'!A265,'Change in Proportion Layers'!$A$8:$A$324,0))</f>
        <v>1265475</v>
      </c>
      <c r="M265" s="84">
        <f t="shared" si="13"/>
        <v>4726543</v>
      </c>
      <c r="N265" s="85"/>
      <c r="O265" s="85">
        <f>ROUND(VLOOKUP(A265,'Contribution Allocation_Report'!$A$9:$D$314,4,FALSE)*'OPEB Amounts_Report'!$O$326,0)</f>
        <v>-953875</v>
      </c>
      <c r="P265" s="85">
        <f>INDEX('Change in Proportion Layers'!$AD$8:$AD$324,MATCH('OPEB Amounts_Report'!A265,'Change in Proportion Layers'!$A$8:$A$324,0))</f>
        <v>-192525</v>
      </c>
      <c r="Q265" s="85">
        <f t="shared" si="14"/>
        <v>-1146400</v>
      </c>
    </row>
    <row r="266" spans="1:17" s="190" customFormat="1" ht="12" customHeight="1">
      <c r="A266" s="59">
        <v>3410</v>
      </c>
      <c r="B266" s="63" t="s">
        <v>486</v>
      </c>
      <c r="C266" s="67">
        <f>ROUND(VLOOKUP(A266,'Contribution Allocation_Report'!$A$9:$D$314,4,FALSE)*'OPEB Amounts_Report'!$C$326,0)</f>
        <v>61941</v>
      </c>
      <c r="D266" s="67">
        <f>ROUND(VLOOKUP(A266,'Contribution Allocation_Report'!$A$9:$D$314,4,FALSE)*'OPEB Amounts_Report'!$D$326,0)</f>
        <v>664</v>
      </c>
      <c r="E266" s="67">
        <f>ROUND(VLOOKUP(A266,'Contribution Allocation_Report'!$A$9:$D$314,4,FALSE)*'OPEB Amounts_Report'!$E$326,0)</f>
        <v>554</v>
      </c>
      <c r="F266" s="67">
        <f>ROUND(VLOOKUP(A266,'Contribution Allocation_Report'!$A$9:$D$314,4,FALSE)*'OPEB Amounts_Report'!$F$326,0)</f>
        <v>11591</v>
      </c>
      <c r="G266" s="67">
        <f>INDEX('Change in Proportion Layers'!$AF$8:$AF$324,MATCH('OPEB Amounts_Report'!A266,'Change in Proportion Layers'!$A$8:$A$324,0))</f>
        <v>93041</v>
      </c>
      <c r="H266" s="67">
        <f t="shared" ref="H266" si="19">SUM(D266:G266)</f>
        <v>105850</v>
      </c>
      <c r="I266" s="67"/>
      <c r="J266" s="67">
        <f>ROUND(VLOOKUP(A266,'Contribution Allocation_Report'!$A$9:$D$314,4,FALSE)*'OPEB Amounts_Report'!$J$326,0)</f>
        <v>6470</v>
      </c>
      <c r="K266" s="67">
        <f>ROUND(VLOOKUP(A266,'Contribution Allocation_Report'!$A$9:$D$314,4,FALSE)*'OPEB Amounts_Report'!$K$326,0)</f>
        <v>39279</v>
      </c>
      <c r="L266" s="250">
        <f>INDEX('Change in Proportion Layers'!$AG$8:$AG$324,MATCH('OPEB Amounts_Report'!A266,'Change in Proportion Layers'!$A$8:$A$324,0))</f>
        <v>0</v>
      </c>
      <c r="M266" s="67">
        <f t="shared" ref="M266" si="20">SUM(J266:L266)</f>
        <v>45749</v>
      </c>
      <c r="N266" s="68"/>
      <c r="O266" s="68">
        <f>ROUND(VLOOKUP(A266,'Contribution Allocation_Report'!$A$9:$D$314,4,FALSE)*'OPEB Amounts_Report'!$O$326,0)</f>
        <v>-12608</v>
      </c>
      <c r="P266" s="68">
        <f>INDEX('Change in Proportion Layers'!$AD$8:$AD$324,MATCH('OPEB Amounts_Report'!A266,'Change in Proportion Layers'!$A$8:$A$324,0))</f>
        <v>18873</v>
      </c>
      <c r="Q266" s="68">
        <f t="shared" ref="Q266" si="21">+O266+P266</f>
        <v>6265</v>
      </c>
    </row>
    <row r="267" spans="1:17" ht="12" customHeight="1">
      <c r="A267" s="227">
        <v>6020</v>
      </c>
      <c r="B267" s="228" t="s">
        <v>248</v>
      </c>
      <c r="C267" s="84">
        <f>ROUND(VLOOKUP(A267,'Contribution Allocation_Report'!$A$9:$D$314,4,FALSE)*'OPEB Amounts_Report'!$C$326,0)</f>
        <v>992047</v>
      </c>
      <c r="D267" s="84">
        <f>ROUND(VLOOKUP(A267,'Contribution Allocation_Report'!$A$9:$D$314,4,FALSE)*'OPEB Amounts_Report'!$D$326,0)</f>
        <v>10632</v>
      </c>
      <c r="E267" s="84">
        <f>ROUND(VLOOKUP(A267,'Contribution Allocation_Report'!$A$9:$D$314,4,FALSE)*'OPEB Amounts_Report'!$E$326,0)</f>
        <v>8868</v>
      </c>
      <c r="F267" s="84">
        <f>ROUND(VLOOKUP(A267,'Contribution Allocation_Report'!$A$9:$D$314,4,FALSE)*'OPEB Amounts_Report'!$F$326,0)</f>
        <v>185637</v>
      </c>
      <c r="G267" s="84">
        <f>INDEX('Change in Proportion Layers'!$AF$8:$AF$324,MATCH('OPEB Amounts_Report'!A267,'Change in Proportion Layers'!$A$8:$A$324,0))</f>
        <v>69789</v>
      </c>
      <c r="H267" s="84">
        <f t="shared" si="15"/>
        <v>274926</v>
      </c>
      <c r="I267" s="84"/>
      <c r="J267" s="84">
        <f>ROUND(VLOOKUP(A267,'Contribution Allocation_Report'!$A$9:$D$314,4,FALSE)*'OPEB Amounts_Report'!$J$326,0)</f>
        <v>103624</v>
      </c>
      <c r="K267" s="84">
        <f>ROUND(VLOOKUP(A267,'Contribution Allocation_Report'!$A$9:$D$314,4,FALSE)*'OPEB Amounts_Report'!$K$326,0)</f>
        <v>629093</v>
      </c>
      <c r="L267" s="84">
        <f>INDEX('Change in Proportion Layers'!$AG$8:$AG$324,MATCH('OPEB Amounts_Report'!A267,'Change in Proportion Layers'!$A$8:$A$324,0))</f>
        <v>129597</v>
      </c>
      <c r="M267" s="84">
        <f t="shared" si="13"/>
        <v>862314</v>
      </c>
      <c r="N267" s="85"/>
      <c r="O267" s="85">
        <f>ROUND(VLOOKUP(A267,'Contribution Allocation_Report'!$A$9:$D$314,4,FALSE)*'OPEB Amounts_Report'!$O$326,0)</f>
        <v>-201938</v>
      </c>
      <c r="P267" s="85">
        <f>INDEX('Change in Proportion Layers'!$AD$8:$AD$324,MATCH('OPEB Amounts_Report'!A267,'Change in Proportion Layers'!$A$8:$A$324,0))</f>
        <v>-993</v>
      </c>
      <c r="Q267" s="85">
        <f t="shared" si="14"/>
        <v>-202931</v>
      </c>
    </row>
    <row r="268" spans="1:17" ht="12" customHeight="1">
      <c r="A268" s="59">
        <v>2394</v>
      </c>
      <c r="B268" s="63" t="s">
        <v>249</v>
      </c>
      <c r="C268" s="67">
        <f>ROUND(VLOOKUP(A268,'Contribution Allocation_Report'!$A$9:$D$314,4,FALSE)*'OPEB Amounts_Report'!$C$326,0)</f>
        <v>619113</v>
      </c>
      <c r="D268" s="67">
        <f>ROUND(VLOOKUP(A268,'Contribution Allocation_Report'!$A$9:$D$314,4,FALSE)*'OPEB Amounts_Report'!$D$326,0)</f>
        <v>6635</v>
      </c>
      <c r="E268" s="67">
        <f>ROUND(VLOOKUP(A268,'Contribution Allocation_Report'!$A$9:$D$314,4,FALSE)*'OPEB Amounts_Report'!$E$326,0)</f>
        <v>5534</v>
      </c>
      <c r="F268" s="67">
        <f>ROUND(VLOOKUP(A268,'Contribution Allocation_Report'!$A$9:$D$314,4,FALSE)*'OPEB Amounts_Report'!$F$326,0)</f>
        <v>115852</v>
      </c>
      <c r="G268" s="67">
        <f>INDEX('Change in Proportion Layers'!$AF$8:$AF$324,MATCH('OPEB Amounts_Report'!A268,'Change in Proportion Layers'!$A$8:$A$324,0))</f>
        <v>128098</v>
      </c>
      <c r="H268" s="67">
        <f t="shared" si="15"/>
        <v>256119</v>
      </c>
      <c r="I268" s="67"/>
      <c r="J268" s="67">
        <f>ROUND(VLOOKUP(A268,'Contribution Allocation_Report'!$A$9:$D$314,4,FALSE)*'OPEB Amounts_Report'!$J$326,0)</f>
        <v>64669</v>
      </c>
      <c r="K268" s="67">
        <f>ROUND(VLOOKUP(A268,'Contribution Allocation_Report'!$A$9:$D$314,4,FALSE)*'OPEB Amounts_Report'!$K$326,0)</f>
        <v>392602</v>
      </c>
      <c r="L268" s="250">
        <f>INDEX('Change in Proportion Layers'!$AG$8:$AG$324,MATCH('OPEB Amounts_Report'!A268,'Change in Proportion Layers'!$A$8:$A$324,0))</f>
        <v>26062</v>
      </c>
      <c r="M268" s="67">
        <f t="shared" si="13"/>
        <v>483333</v>
      </c>
      <c r="N268" s="68"/>
      <c r="O268" s="68">
        <f>ROUND(VLOOKUP(A268,'Contribution Allocation_Report'!$A$9:$D$314,4,FALSE)*'OPEB Amounts_Report'!$O$326,0)</f>
        <v>-126025</v>
      </c>
      <c r="P268" s="68">
        <f>INDEX('Change in Proportion Layers'!$AD$8:$AD$324,MATCH('OPEB Amounts_Report'!A268,'Change in Proportion Layers'!$A$8:$A$324,0))</f>
        <v>49672</v>
      </c>
      <c r="Q268" s="68">
        <f t="shared" si="14"/>
        <v>-76353</v>
      </c>
    </row>
    <row r="269" spans="1:17" ht="12" customHeight="1">
      <c r="A269" s="227">
        <v>5015</v>
      </c>
      <c r="B269" s="228" t="s">
        <v>250</v>
      </c>
      <c r="C269" s="84">
        <f>ROUND(VLOOKUP(A269,'Contribution Allocation_Report'!$A$9:$D$314,4,FALSE)*'OPEB Amounts_Report'!$C$326,0)</f>
        <v>1365737</v>
      </c>
      <c r="D269" s="84">
        <f>ROUND(VLOOKUP(A269,'Contribution Allocation_Report'!$A$9:$D$314,4,FALSE)*'OPEB Amounts_Report'!$D$326,0)</f>
        <v>14637</v>
      </c>
      <c r="E269" s="84">
        <f>ROUND(VLOOKUP(A269,'Contribution Allocation_Report'!$A$9:$D$314,4,FALSE)*'OPEB Amounts_Report'!$E$326,0)</f>
        <v>12208</v>
      </c>
      <c r="F269" s="84">
        <f>ROUND(VLOOKUP(A269,'Contribution Allocation_Report'!$A$9:$D$314,4,FALSE)*'OPEB Amounts_Report'!$F$326,0)</f>
        <v>255564</v>
      </c>
      <c r="G269" s="251">
        <f>INDEX('Change in Proportion Layers'!$AF$8:$AF$324,MATCH('OPEB Amounts_Report'!A269,'Change in Proportion Layers'!$A$8:$A$324,0))</f>
        <v>56039</v>
      </c>
      <c r="H269" s="84">
        <f t="shared" si="15"/>
        <v>338448</v>
      </c>
      <c r="I269" s="84"/>
      <c r="J269" s="84">
        <f>ROUND(VLOOKUP(A269,'Contribution Allocation_Report'!$A$9:$D$314,4,FALSE)*'OPEB Amounts_Report'!$J$326,0)</f>
        <v>142657</v>
      </c>
      <c r="K269" s="84">
        <f>ROUND(VLOOKUP(A269,'Contribution Allocation_Report'!$A$9:$D$314,4,FALSE)*'OPEB Amounts_Report'!$K$326,0)</f>
        <v>866064</v>
      </c>
      <c r="L269" s="84">
        <f>INDEX('Change in Proportion Layers'!$AG$8:$AG$324,MATCH('OPEB Amounts_Report'!A269,'Change in Proportion Layers'!$A$8:$A$324,0))</f>
        <v>197414</v>
      </c>
      <c r="M269" s="84">
        <f t="shared" ref="M269:M322" si="22">SUM(J269:L269)</f>
        <v>1206135</v>
      </c>
      <c r="N269" s="85"/>
      <c r="O269" s="85">
        <f>ROUND(VLOOKUP(A269,'Contribution Allocation_Report'!$A$9:$D$314,4,FALSE)*'OPEB Amounts_Report'!$O$326,0)</f>
        <v>-278005</v>
      </c>
      <c r="P269" s="85">
        <f>INDEX('Change in Proportion Layers'!$AD$8:$AD$324,MATCH('OPEB Amounts_Report'!A269,'Change in Proportion Layers'!$A$8:$A$324,0))</f>
        <v>-9072</v>
      </c>
      <c r="Q269" s="85">
        <f t="shared" ref="Q269:Q322" si="23">+O269+P269</f>
        <v>-287077</v>
      </c>
    </row>
    <row r="270" spans="1:17" ht="12" customHeight="1">
      <c r="A270" s="59">
        <v>29408</v>
      </c>
      <c r="B270" s="63" t="s">
        <v>251</v>
      </c>
      <c r="C270" s="67">
        <f>ROUND(VLOOKUP(A270,'Contribution Allocation_Report'!$A$9:$D$314,4,FALSE)*'OPEB Amounts_Report'!$C$326,0)</f>
        <v>1016823</v>
      </c>
      <c r="D270" s="67">
        <f>ROUND(VLOOKUP(A270,'Contribution Allocation_Report'!$A$9:$D$314,4,FALSE)*'OPEB Amounts_Report'!$D$326,0)</f>
        <v>10897</v>
      </c>
      <c r="E270" s="67">
        <f>ROUND(VLOOKUP(A270,'Contribution Allocation_Report'!$A$9:$D$314,4,FALSE)*'OPEB Amounts_Report'!$E$326,0)</f>
        <v>9089</v>
      </c>
      <c r="F270" s="67">
        <f>ROUND(VLOOKUP(A270,'Contribution Allocation_Report'!$A$9:$D$314,4,FALSE)*'OPEB Amounts_Report'!$F$326,0)</f>
        <v>190273</v>
      </c>
      <c r="G270" s="67">
        <f>INDEX('Change in Proportion Layers'!$AF$8:$AF$324,MATCH('OPEB Amounts_Report'!A270,'Change in Proportion Layers'!$A$8:$A$324,0))</f>
        <v>190900</v>
      </c>
      <c r="H270" s="67">
        <f t="shared" ref="H270:H322" si="24">SUM(D270:G270)</f>
        <v>401159</v>
      </c>
      <c r="I270" s="67"/>
      <c r="J270" s="67">
        <f>ROUND(VLOOKUP(A270,'Contribution Allocation_Report'!$A$9:$D$314,4,FALSE)*'OPEB Amounts_Report'!$J$326,0)</f>
        <v>106212</v>
      </c>
      <c r="K270" s="67">
        <f>ROUND(VLOOKUP(A270,'Contribution Allocation_Report'!$A$9:$D$314,4,FALSE)*'OPEB Amounts_Report'!$K$326,0)</f>
        <v>644805</v>
      </c>
      <c r="L270" s="250">
        <f>INDEX('Change in Proportion Layers'!$AG$8:$AG$324,MATCH('OPEB Amounts_Report'!A270,'Change in Proportion Layers'!$A$8:$A$324,0))</f>
        <v>56608</v>
      </c>
      <c r="M270" s="67">
        <f t="shared" si="22"/>
        <v>807625</v>
      </c>
      <c r="N270" s="68"/>
      <c r="O270" s="68">
        <f>ROUND(VLOOKUP(A270,'Contribution Allocation_Report'!$A$9:$D$314,4,FALSE)*'OPEB Amounts_Report'!$O$326,0)</f>
        <v>-206981</v>
      </c>
      <c r="P270" s="68">
        <f>INDEX('Change in Proportion Layers'!$AD$8:$AD$324,MATCH('OPEB Amounts_Report'!A270,'Change in Proportion Layers'!$A$8:$A$324,0))</f>
        <v>79336</v>
      </c>
      <c r="Q270" s="68">
        <f t="shared" si="23"/>
        <v>-127645</v>
      </c>
    </row>
    <row r="271" spans="1:17" ht="12" customHeight="1">
      <c r="A271" s="227">
        <v>2413</v>
      </c>
      <c r="B271" s="228" t="s">
        <v>252</v>
      </c>
      <c r="C271" s="84">
        <f>ROUND(VLOOKUP(A271,'Contribution Allocation_Report'!$A$9:$D$314,4,FALSE)*'OPEB Amounts_Report'!$C$326,0)</f>
        <v>180413</v>
      </c>
      <c r="D271" s="84">
        <f>ROUND(VLOOKUP(A271,'Contribution Allocation_Report'!$A$9:$D$314,4,FALSE)*'OPEB Amounts_Report'!$D$326,0)</f>
        <v>1933</v>
      </c>
      <c r="E271" s="84">
        <f>ROUND(VLOOKUP(A271,'Contribution Allocation_Report'!$A$9:$D$314,4,FALSE)*'OPEB Amounts_Report'!$E$326,0)</f>
        <v>1613</v>
      </c>
      <c r="F271" s="84">
        <f>ROUND(VLOOKUP(A271,'Contribution Allocation_Report'!$A$9:$D$314,4,FALSE)*'OPEB Amounts_Report'!$F$326,0)</f>
        <v>33760</v>
      </c>
      <c r="G271" s="251">
        <f>INDEX('Change in Proportion Layers'!$AF$8:$AF$324,MATCH('OPEB Amounts_Report'!A271,'Change in Proportion Layers'!$A$8:$A$324,0))</f>
        <v>72541</v>
      </c>
      <c r="H271" s="84">
        <f t="shared" si="24"/>
        <v>109847</v>
      </c>
      <c r="I271" s="84"/>
      <c r="J271" s="84">
        <f>ROUND(VLOOKUP(A271,'Contribution Allocation_Report'!$A$9:$D$314,4,FALSE)*'OPEB Amounts_Report'!$J$326,0)</f>
        <v>18845</v>
      </c>
      <c r="K271" s="84">
        <f>ROUND(VLOOKUP(A271,'Contribution Allocation_Report'!$A$9:$D$314,4,FALSE)*'OPEB Amounts_Report'!$K$326,0)</f>
        <v>114406</v>
      </c>
      <c r="L271" s="84">
        <f>INDEX('Change in Proportion Layers'!$AG$8:$AG$324,MATCH('OPEB Amounts_Report'!A271,'Change in Proportion Layers'!$A$8:$A$324,0))</f>
        <v>229844</v>
      </c>
      <c r="M271" s="84">
        <f t="shared" si="22"/>
        <v>363095</v>
      </c>
      <c r="N271" s="85"/>
      <c r="O271" s="85">
        <f>ROUND(VLOOKUP(A271,'Contribution Allocation_Report'!$A$9:$D$314,4,FALSE)*'OPEB Amounts_Report'!$O$326,0)</f>
        <v>-36724</v>
      </c>
      <c r="P271" s="85">
        <f>INDEX('Change in Proportion Layers'!$AD$8:$AD$324,MATCH('OPEB Amounts_Report'!A271,'Change in Proportion Layers'!$A$8:$A$324,0))</f>
        <v>-55210</v>
      </c>
      <c r="Q271" s="85">
        <f t="shared" si="23"/>
        <v>-91934</v>
      </c>
    </row>
    <row r="272" spans="1:17" ht="12" customHeight="1">
      <c r="A272" s="59">
        <v>1398</v>
      </c>
      <c r="B272" s="63" t="s">
        <v>253</v>
      </c>
      <c r="C272" s="67">
        <f>ROUND(VLOOKUP(A272,'Contribution Allocation_Report'!$A$9:$D$314,4,FALSE)*'OPEB Amounts_Report'!$C$326,0)</f>
        <v>614082</v>
      </c>
      <c r="D272" s="67">
        <f>ROUND(VLOOKUP(A272,'Contribution Allocation_Report'!$A$9:$D$314,4,FALSE)*'OPEB Amounts_Report'!$D$326,0)</f>
        <v>6581</v>
      </c>
      <c r="E272" s="67">
        <f>ROUND(VLOOKUP(A272,'Contribution Allocation_Report'!$A$9:$D$314,4,FALSE)*'OPEB Amounts_Report'!$E$326,0)</f>
        <v>5489</v>
      </c>
      <c r="F272" s="67">
        <f>ROUND(VLOOKUP(A272,'Contribution Allocation_Report'!$A$9:$D$314,4,FALSE)*'OPEB Amounts_Report'!$F$326,0)</f>
        <v>114910</v>
      </c>
      <c r="G272" s="67">
        <f>INDEX('Change in Proportion Layers'!$AF$8:$AF$324,MATCH('OPEB Amounts_Report'!A272,'Change in Proportion Layers'!$A$8:$A$324,0))</f>
        <v>347892</v>
      </c>
      <c r="H272" s="67">
        <f t="shared" si="24"/>
        <v>474872</v>
      </c>
      <c r="I272" s="67"/>
      <c r="J272" s="67">
        <f>ROUND(VLOOKUP(A272,'Contribution Allocation_Report'!$A$9:$D$314,4,FALSE)*'OPEB Amounts_Report'!$J$326,0)</f>
        <v>64144</v>
      </c>
      <c r="K272" s="67">
        <f>ROUND(VLOOKUP(A272,'Contribution Allocation_Report'!$A$9:$D$314,4,FALSE)*'OPEB Amounts_Report'!$K$326,0)</f>
        <v>389412</v>
      </c>
      <c r="L272" s="250">
        <f>INDEX('Change in Proportion Layers'!$AG$8:$AG$324,MATCH('OPEB Amounts_Report'!A272,'Change in Proportion Layers'!$A$8:$A$324,0))</f>
        <v>107697</v>
      </c>
      <c r="M272" s="67">
        <f t="shared" si="22"/>
        <v>561253</v>
      </c>
      <c r="N272" s="68"/>
      <c r="O272" s="68">
        <f>ROUND(VLOOKUP(A272,'Contribution Allocation_Report'!$A$9:$D$314,4,FALSE)*'OPEB Amounts_Report'!$O$326,0)</f>
        <v>-125000</v>
      </c>
      <c r="P272" s="68">
        <f>INDEX('Change in Proportion Layers'!$AD$8:$AD$324,MATCH('OPEB Amounts_Report'!A272,'Change in Proportion Layers'!$A$8:$A$324,0))</f>
        <v>60980</v>
      </c>
      <c r="Q272" s="68">
        <f t="shared" si="23"/>
        <v>-64020</v>
      </c>
    </row>
    <row r="273" spans="1:17" ht="12" customHeight="1">
      <c r="A273" s="227">
        <v>2366</v>
      </c>
      <c r="B273" s="228" t="s">
        <v>254</v>
      </c>
      <c r="C273" s="84">
        <f>ROUND(VLOOKUP(A273,'Contribution Allocation_Report'!$A$9:$D$314,4,FALSE)*'OPEB Amounts_Report'!$C$326,0)</f>
        <v>379716</v>
      </c>
      <c r="D273" s="84">
        <f>ROUND(VLOOKUP(A273,'Contribution Allocation_Report'!$A$9:$D$314,4,FALSE)*'OPEB Amounts_Report'!$D$326,0)</f>
        <v>4069</v>
      </c>
      <c r="E273" s="84">
        <f>ROUND(VLOOKUP(A273,'Contribution Allocation_Report'!$A$9:$D$314,4,FALSE)*'OPEB Amounts_Report'!$E$326,0)</f>
        <v>3394</v>
      </c>
      <c r="F273" s="84">
        <f>ROUND(VLOOKUP(A273,'Contribution Allocation_Report'!$A$9:$D$314,4,FALSE)*'OPEB Amounts_Report'!$F$326,0)</f>
        <v>71054</v>
      </c>
      <c r="G273" s="84">
        <f>INDEX('Change in Proportion Layers'!$AF$8:$AF$324,MATCH('OPEB Amounts_Report'!A273,'Change in Proportion Layers'!$A$8:$A$324,0))</f>
        <v>13150</v>
      </c>
      <c r="H273" s="84">
        <f t="shared" si="24"/>
        <v>91667</v>
      </c>
      <c r="I273" s="84"/>
      <c r="J273" s="84">
        <f>ROUND(VLOOKUP(A273,'Contribution Allocation_Report'!$A$9:$D$314,4,FALSE)*'OPEB Amounts_Report'!$J$326,0)</f>
        <v>39663</v>
      </c>
      <c r="K273" s="84">
        <f>ROUND(VLOOKUP(A273,'Contribution Allocation_Report'!$A$9:$D$314,4,FALSE)*'OPEB Amounts_Report'!$K$326,0)</f>
        <v>240792</v>
      </c>
      <c r="L273" s="84">
        <f>INDEX('Change in Proportion Layers'!$AG$8:$AG$324,MATCH('OPEB Amounts_Report'!A273,'Change in Proportion Layers'!$A$8:$A$324,0))</f>
        <v>158662</v>
      </c>
      <c r="M273" s="84">
        <f t="shared" si="22"/>
        <v>439117</v>
      </c>
      <c r="N273" s="85"/>
      <c r="O273" s="85">
        <f>ROUND(VLOOKUP(A273,'Contribution Allocation_Report'!$A$9:$D$314,4,FALSE)*'OPEB Amounts_Report'!$O$326,0)</f>
        <v>-77294</v>
      </c>
      <c r="P273" s="85">
        <f>INDEX('Change in Proportion Layers'!$AD$8:$AD$324,MATCH('OPEB Amounts_Report'!A273,'Change in Proportion Layers'!$A$8:$A$324,0))</f>
        <v>-55251</v>
      </c>
      <c r="Q273" s="85">
        <f t="shared" si="23"/>
        <v>-132545</v>
      </c>
    </row>
    <row r="274" spans="1:17" ht="12" customHeight="1">
      <c r="A274" s="59">
        <v>7421</v>
      </c>
      <c r="B274" s="63" t="s">
        <v>255</v>
      </c>
      <c r="C274" s="67">
        <f>ROUND(VLOOKUP(A274,'Contribution Allocation_Report'!$A$9:$D$314,4,FALSE)*'OPEB Amounts_Report'!$C$326,0)</f>
        <v>343687</v>
      </c>
      <c r="D274" s="67">
        <f>ROUND(VLOOKUP(A274,'Contribution Allocation_Report'!$A$9:$D$314,4,FALSE)*'OPEB Amounts_Report'!$D$326,0)</f>
        <v>3683</v>
      </c>
      <c r="E274" s="67">
        <f>ROUND(VLOOKUP(A274,'Contribution Allocation_Report'!$A$9:$D$314,4,FALSE)*'OPEB Amounts_Report'!$E$326,0)</f>
        <v>3072</v>
      </c>
      <c r="F274" s="67">
        <f>ROUND(VLOOKUP(A274,'Contribution Allocation_Report'!$A$9:$D$314,4,FALSE)*'OPEB Amounts_Report'!$F$326,0)</f>
        <v>64312</v>
      </c>
      <c r="G274" s="67">
        <f>INDEX('Change in Proportion Layers'!$AF$8:$AF$324,MATCH('OPEB Amounts_Report'!A274,'Change in Proportion Layers'!$A$8:$A$324,0))</f>
        <v>62697</v>
      </c>
      <c r="H274" s="67">
        <f t="shared" si="24"/>
        <v>133764</v>
      </c>
      <c r="I274" s="67"/>
      <c r="J274" s="67">
        <f>ROUND(VLOOKUP(A274,'Contribution Allocation_Report'!$A$9:$D$314,4,FALSE)*'OPEB Amounts_Report'!$J$326,0)</f>
        <v>35900</v>
      </c>
      <c r="K274" s="67">
        <f>ROUND(VLOOKUP(A274,'Contribution Allocation_Report'!$A$9:$D$314,4,FALSE)*'OPEB Amounts_Report'!$K$326,0)</f>
        <v>217945</v>
      </c>
      <c r="L274" s="67">
        <f>INDEX('Change in Proportion Layers'!$AG$8:$AG$324,MATCH('OPEB Amounts_Report'!A274,'Change in Proportion Layers'!$A$8:$A$324,0))</f>
        <v>161517</v>
      </c>
      <c r="M274" s="67">
        <f t="shared" si="22"/>
        <v>415362</v>
      </c>
      <c r="N274" s="68"/>
      <c r="O274" s="68">
        <f>ROUND(VLOOKUP(A274,'Contribution Allocation_Report'!$A$9:$D$314,4,FALSE)*'OPEB Amounts_Report'!$O$326,0)</f>
        <v>-69960</v>
      </c>
      <c r="P274" s="68">
        <f>INDEX('Change in Proportion Layers'!$AD$8:$AD$324,MATCH('OPEB Amounts_Report'!A274,'Change in Proportion Layers'!$A$8:$A$324,0))</f>
        <v>-44122</v>
      </c>
      <c r="Q274" s="68">
        <f t="shared" si="23"/>
        <v>-114082</v>
      </c>
    </row>
    <row r="275" spans="1:17" ht="12" customHeight="1">
      <c r="A275" s="227">
        <v>1425</v>
      </c>
      <c r="B275" s="228" t="s">
        <v>445</v>
      </c>
      <c r="C275" s="84">
        <f>ROUND(VLOOKUP(A275,'Contribution Allocation_Report'!$A$9:$D$314,4,FALSE)*'OPEB Amounts_Report'!$C$326,0)</f>
        <v>573568</v>
      </c>
      <c r="D275" s="84">
        <f>ROUND(VLOOKUP(A275,'Contribution Allocation_Report'!$A$9:$D$314,4,FALSE)*'OPEB Amounts_Report'!$D$326,0)</f>
        <v>6147</v>
      </c>
      <c r="E275" s="84">
        <f>ROUND(VLOOKUP(A275,'Contribution Allocation_Report'!$A$9:$D$314,4,FALSE)*'OPEB Amounts_Report'!$E$326,0)</f>
        <v>5127</v>
      </c>
      <c r="F275" s="84">
        <f>ROUND(VLOOKUP(A275,'Contribution Allocation_Report'!$A$9:$D$314,4,FALSE)*'OPEB Amounts_Report'!$F$326,0)</f>
        <v>107329</v>
      </c>
      <c r="G275" s="84">
        <f>INDEX('Change in Proportion Layers'!$AF$8:$AF$324,MATCH('OPEB Amounts_Report'!A275,'Change in Proportion Layers'!$A$8:$A$324,0))</f>
        <v>828310</v>
      </c>
      <c r="H275" s="84">
        <f t="shared" si="24"/>
        <v>946913</v>
      </c>
      <c r="I275" s="84"/>
      <c r="J275" s="84">
        <f>ROUND(VLOOKUP(A275,'Contribution Allocation_Report'!$A$9:$D$314,4,FALSE)*'OPEB Amounts_Report'!$J$326,0)</f>
        <v>59912</v>
      </c>
      <c r="K275" s="84">
        <f>ROUND(VLOOKUP(A275,'Contribution Allocation_Report'!$A$9:$D$314,4,FALSE)*'OPEB Amounts_Report'!$K$326,0)</f>
        <v>363721</v>
      </c>
      <c r="L275" s="84">
        <f>INDEX('Change in Proportion Layers'!$AG$8:$AG$324,MATCH('OPEB Amounts_Report'!A275,'Change in Proportion Layers'!$A$8:$A$324,0))</f>
        <v>0</v>
      </c>
      <c r="M275" s="84">
        <f t="shared" si="22"/>
        <v>423633</v>
      </c>
      <c r="N275" s="85"/>
      <c r="O275" s="85">
        <f>ROUND(VLOOKUP(A275,'Contribution Allocation_Report'!$A$9:$D$314,4,FALSE)*'OPEB Amounts_Report'!$O$326,0)</f>
        <v>-116754</v>
      </c>
      <c r="P275" s="85">
        <f>INDEX('Change in Proportion Layers'!$AD$8:$AD$324,MATCH('OPEB Amounts_Report'!A275,'Change in Proportion Layers'!$A$8:$A$324,0))</f>
        <v>193434</v>
      </c>
      <c r="Q275" s="85">
        <f t="shared" si="23"/>
        <v>76680</v>
      </c>
    </row>
    <row r="276" spans="1:17" ht="12" customHeight="1">
      <c r="A276" s="59">
        <v>2370</v>
      </c>
      <c r="B276" s="63" t="s">
        <v>256</v>
      </c>
      <c r="C276" s="67">
        <f>ROUND(VLOOKUP(A276,'Contribution Allocation_Report'!$A$9:$D$314,4,FALSE)*'OPEB Amounts_Report'!$C$326,0)</f>
        <v>534442</v>
      </c>
      <c r="D276" s="67">
        <f>ROUND(VLOOKUP(A276,'Contribution Allocation_Report'!$A$9:$D$314,4,FALSE)*'OPEB Amounts_Report'!$D$326,0)</f>
        <v>5728</v>
      </c>
      <c r="E276" s="67">
        <f>ROUND(VLOOKUP(A276,'Contribution Allocation_Report'!$A$9:$D$314,4,FALSE)*'OPEB Amounts_Report'!$E$326,0)</f>
        <v>4777</v>
      </c>
      <c r="F276" s="67">
        <f>ROUND(VLOOKUP(A276,'Contribution Allocation_Report'!$A$9:$D$314,4,FALSE)*'OPEB Amounts_Report'!$F$326,0)</f>
        <v>100007</v>
      </c>
      <c r="G276" s="67">
        <f>INDEX('Change in Proportion Layers'!$AF$8:$AF$324,MATCH('OPEB Amounts_Report'!A276,'Change in Proportion Layers'!$A$8:$A$324,0))</f>
        <v>46367</v>
      </c>
      <c r="H276" s="67">
        <f t="shared" si="24"/>
        <v>156879</v>
      </c>
      <c r="I276" s="67"/>
      <c r="J276" s="67">
        <f>ROUND(VLOOKUP(A276,'Contribution Allocation_Report'!$A$9:$D$314,4,FALSE)*'OPEB Amounts_Report'!$J$326,0)</f>
        <v>55825</v>
      </c>
      <c r="K276" s="67">
        <f>ROUND(VLOOKUP(A276,'Contribution Allocation_Report'!$A$9:$D$314,4,FALSE)*'OPEB Amounts_Report'!$K$326,0)</f>
        <v>338909</v>
      </c>
      <c r="L276" s="67">
        <f>INDEX('Change in Proportion Layers'!$AG$8:$AG$324,MATCH('OPEB Amounts_Report'!A276,'Change in Proportion Layers'!$A$8:$A$324,0))</f>
        <v>243888</v>
      </c>
      <c r="M276" s="67">
        <f t="shared" si="22"/>
        <v>638622</v>
      </c>
      <c r="N276" s="68"/>
      <c r="O276" s="68">
        <f>ROUND(VLOOKUP(A276,'Contribution Allocation_Report'!$A$9:$D$314,4,FALSE)*'OPEB Amounts_Report'!$O$326,0)</f>
        <v>-108789</v>
      </c>
      <c r="P276" s="68">
        <f>INDEX('Change in Proportion Layers'!$AD$8:$AD$324,MATCH('OPEB Amounts_Report'!A276,'Change in Proportion Layers'!$A$8:$A$324,0))</f>
        <v>-25723</v>
      </c>
      <c r="Q276" s="68">
        <f t="shared" si="23"/>
        <v>-134512</v>
      </c>
    </row>
    <row r="277" spans="1:17" ht="12" customHeight="1">
      <c r="A277" s="227">
        <v>32094</v>
      </c>
      <c r="B277" s="228" t="s">
        <v>257</v>
      </c>
      <c r="C277" s="84">
        <f>ROUND(VLOOKUP(A277,'Contribution Allocation_Report'!$A$9:$D$314,4,FALSE)*'OPEB Amounts_Report'!$C$326,0)</f>
        <v>706138</v>
      </c>
      <c r="D277" s="84">
        <f>ROUND(VLOOKUP(A277,'Contribution Allocation_Report'!$A$9:$D$314,4,FALSE)*'OPEB Amounts_Report'!$D$326,0)</f>
        <v>7568</v>
      </c>
      <c r="E277" s="84">
        <f>ROUND(VLOOKUP(A277,'Contribution Allocation_Report'!$A$9:$D$314,4,FALSE)*'OPEB Amounts_Report'!$E$326,0)</f>
        <v>6312</v>
      </c>
      <c r="F277" s="84">
        <f>ROUND(VLOOKUP(A277,'Contribution Allocation_Report'!$A$9:$D$314,4,FALSE)*'OPEB Amounts_Report'!$F$326,0)</f>
        <v>132136</v>
      </c>
      <c r="G277" s="84">
        <f>INDEX('Change in Proportion Layers'!$AF$8:$AF$324,MATCH('OPEB Amounts_Report'!A277,'Change in Proportion Layers'!$A$8:$A$324,0))</f>
        <v>90617</v>
      </c>
      <c r="H277" s="84">
        <f t="shared" si="24"/>
        <v>236633</v>
      </c>
      <c r="I277" s="84"/>
      <c r="J277" s="84">
        <f>ROUND(VLOOKUP(A277,'Contribution Allocation_Report'!$A$9:$D$314,4,FALSE)*'OPEB Amounts_Report'!$J$326,0)</f>
        <v>73759</v>
      </c>
      <c r="K277" s="84">
        <f>ROUND(VLOOKUP(A277,'Contribution Allocation_Report'!$A$9:$D$314,4,FALSE)*'OPEB Amounts_Report'!$K$326,0)</f>
        <v>447788</v>
      </c>
      <c r="L277" s="251">
        <f>INDEX('Change in Proportion Layers'!$AG$8:$AG$324,MATCH('OPEB Amounts_Report'!A277,'Change in Proportion Layers'!$A$8:$A$324,0))</f>
        <v>107747</v>
      </c>
      <c r="M277" s="84">
        <f t="shared" si="22"/>
        <v>629294</v>
      </c>
      <c r="N277" s="85"/>
      <c r="O277" s="85">
        <f>ROUND(VLOOKUP(A277,'Contribution Allocation_Report'!$A$9:$D$314,4,FALSE)*'OPEB Amounts_Report'!$O$326,0)</f>
        <v>-143739</v>
      </c>
      <c r="P277" s="85">
        <f>INDEX('Change in Proportion Layers'!$AD$8:$AD$324,MATCH('OPEB Amounts_Report'!A277,'Change in Proportion Layers'!$A$8:$A$324,0))</f>
        <v>13032</v>
      </c>
      <c r="Q277" s="85">
        <f t="shared" si="23"/>
        <v>-130707</v>
      </c>
    </row>
    <row r="278" spans="1:17" ht="12" customHeight="1">
      <c r="A278" s="59">
        <v>2790</v>
      </c>
      <c r="B278" s="63" t="s">
        <v>258</v>
      </c>
      <c r="C278" s="67">
        <f>ROUND(VLOOKUP(A278,'Contribution Allocation_Report'!$A$9:$D$314,4,FALSE)*'OPEB Amounts_Report'!$C$326,0)</f>
        <v>68079</v>
      </c>
      <c r="D278" s="67">
        <f>ROUND(VLOOKUP(A278,'Contribution Allocation_Report'!$A$9:$D$314,4,FALSE)*'OPEB Amounts_Report'!$D$326,0)</f>
        <v>730</v>
      </c>
      <c r="E278" s="67">
        <f>ROUND(VLOOKUP(A278,'Contribution Allocation_Report'!$A$9:$D$314,4,FALSE)*'OPEB Amounts_Report'!$E$326,0)</f>
        <v>609</v>
      </c>
      <c r="F278" s="67">
        <f>ROUND(VLOOKUP(A278,'Contribution Allocation_Report'!$A$9:$D$314,4,FALSE)*'OPEB Amounts_Report'!$F$326,0)</f>
        <v>12739</v>
      </c>
      <c r="G278" s="67">
        <f>INDEX('Change in Proportion Layers'!$AF$8:$AF$324,MATCH('OPEB Amounts_Report'!A278,'Change in Proportion Layers'!$A$8:$A$324,0))</f>
        <v>16356</v>
      </c>
      <c r="H278" s="67">
        <f t="shared" si="24"/>
        <v>30434</v>
      </c>
      <c r="I278" s="67"/>
      <c r="J278" s="67">
        <f>ROUND(VLOOKUP(A278,'Contribution Allocation_Report'!$A$9:$D$314,4,FALSE)*'OPEB Amounts_Report'!$J$326,0)</f>
        <v>7111</v>
      </c>
      <c r="K278" s="67">
        <f>ROUND(VLOOKUP(A278,'Contribution Allocation_Report'!$A$9:$D$314,4,FALSE)*'OPEB Amounts_Report'!$K$326,0)</f>
        <v>43171</v>
      </c>
      <c r="L278" s="250">
        <f>INDEX('Change in Proportion Layers'!$AG$8:$AG$324,MATCH('OPEB Amounts_Report'!A278,'Change in Proportion Layers'!$A$8:$A$324,0))</f>
        <v>30760</v>
      </c>
      <c r="M278" s="67">
        <f t="shared" si="22"/>
        <v>81042</v>
      </c>
      <c r="N278" s="68"/>
      <c r="O278" s="68">
        <f>ROUND(VLOOKUP(A278,'Contribution Allocation_Report'!$A$9:$D$314,4,FALSE)*'OPEB Amounts_Report'!$O$326,0)</f>
        <v>-13858</v>
      </c>
      <c r="P278" s="68">
        <f>INDEX('Change in Proportion Layers'!$AD$8:$AD$324,MATCH('OPEB Amounts_Report'!A278,'Change in Proportion Layers'!$A$8:$A$324,0))</f>
        <v>-8382</v>
      </c>
      <c r="Q278" s="68">
        <f t="shared" si="23"/>
        <v>-22240</v>
      </c>
    </row>
    <row r="279" spans="1:17" ht="12" customHeight="1">
      <c r="A279" s="227">
        <v>3330</v>
      </c>
      <c r="B279" s="228" t="s">
        <v>259</v>
      </c>
      <c r="C279" s="84">
        <f>ROUND(VLOOKUP(A279,'Contribution Allocation_Report'!$A$9:$D$314,4,FALSE)*'OPEB Amounts_Report'!$C$326,0)</f>
        <v>1523952</v>
      </c>
      <c r="D279" s="84">
        <f>ROUND(VLOOKUP(A279,'Contribution Allocation_Report'!$A$9:$D$314,4,FALSE)*'OPEB Amounts_Report'!$D$326,0)</f>
        <v>16332</v>
      </c>
      <c r="E279" s="84">
        <f>ROUND(VLOOKUP(A279,'Contribution Allocation_Report'!$A$9:$D$314,4,FALSE)*'OPEB Amounts_Report'!$E$326,0)</f>
        <v>13623</v>
      </c>
      <c r="F279" s="84">
        <f>ROUND(VLOOKUP(A279,'Contribution Allocation_Report'!$A$9:$D$314,4,FALSE)*'OPEB Amounts_Report'!$F$326,0)</f>
        <v>285170</v>
      </c>
      <c r="G279" s="84">
        <f>INDEX('Change in Proportion Layers'!$AF$8:$AF$324,MATCH('OPEB Amounts_Report'!A279,'Change in Proportion Layers'!$A$8:$A$324,0))</f>
        <v>134579</v>
      </c>
      <c r="H279" s="84">
        <f t="shared" si="24"/>
        <v>449704</v>
      </c>
      <c r="I279" s="84"/>
      <c r="J279" s="84">
        <f>ROUND(VLOOKUP(A279,'Contribution Allocation_Report'!$A$9:$D$314,4,FALSE)*'OPEB Amounts_Report'!$J$326,0)</f>
        <v>159183</v>
      </c>
      <c r="K279" s="84">
        <f>ROUND(VLOOKUP(A279,'Contribution Allocation_Report'!$A$9:$D$314,4,FALSE)*'OPEB Amounts_Report'!$K$326,0)</f>
        <v>966394</v>
      </c>
      <c r="L279" s="84">
        <f>INDEX('Change in Proportion Layers'!$AG$8:$AG$324,MATCH('OPEB Amounts_Report'!A279,'Change in Proportion Layers'!$A$8:$A$324,0))</f>
        <v>179926</v>
      </c>
      <c r="M279" s="84">
        <f t="shared" si="22"/>
        <v>1305503</v>
      </c>
      <c r="N279" s="85"/>
      <c r="O279" s="85">
        <f>ROUND(VLOOKUP(A279,'Contribution Allocation_Report'!$A$9:$D$314,4,FALSE)*'OPEB Amounts_Report'!$O$326,0)</f>
        <v>-310211</v>
      </c>
      <c r="P279" s="85">
        <f>INDEX('Change in Proportion Layers'!$AD$8:$AD$324,MATCH('OPEB Amounts_Report'!A279,'Change in Proportion Layers'!$A$8:$A$324,0))</f>
        <v>36858</v>
      </c>
      <c r="Q279" s="85">
        <f t="shared" si="23"/>
        <v>-273353</v>
      </c>
    </row>
    <row r="280" spans="1:17" ht="12" customHeight="1">
      <c r="A280" s="59">
        <v>2080</v>
      </c>
      <c r="B280" s="63" t="s">
        <v>260</v>
      </c>
      <c r="C280" s="67">
        <f>ROUND(VLOOKUP(A280,'Contribution Allocation_Report'!$A$9:$D$314,4,FALSE)*'OPEB Amounts_Report'!$C$326,0)</f>
        <v>1844124</v>
      </c>
      <c r="D280" s="67">
        <f>ROUND(VLOOKUP(A280,'Contribution Allocation_Report'!$A$9:$D$314,4,FALSE)*'OPEB Amounts_Report'!$D$326,0)</f>
        <v>19764</v>
      </c>
      <c r="E280" s="67">
        <f>ROUND(VLOOKUP(A280,'Contribution Allocation_Report'!$A$9:$D$314,4,FALSE)*'OPEB Amounts_Report'!$E$326,0)</f>
        <v>16485</v>
      </c>
      <c r="F280" s="67">
        <f>ROUND(VLOOKUP(A280,'Contribution Allocation_Report'!$A$9:$D$314,4,FALSE)*'OPEB Amounts_Report'!$F$326,0)</f>
        <v>345082</v>
      </c>
      <c r="G280" s="67">
        <f>INDEX('Change in Proportion Layers'!$AF$8:$AF$324,MATCH('OPEB Amounts_Report'!A280,'Change in Proportion Layers'!$A$8:$A$324,0))</f>
        <v>295749</v>
      </c>
      <c r="H280" s="67">
        <f t="shared" si="24"/>
        <v>677080</v>
      </c>
      <c r="I280" s="67"/>
      <c r="J280" s="67">
        <f>ROUND(VLOOKUP(A280,'Contribution Allocation_Report'!$A$9:$D$314,4,FALSE)*'OPEB Amounts_Report'!$J$326,0)</f>
        <v>192627</v>
      </c>
      <c r="K280" s="67">
        <f>ROUND(VLOOKUP(A280,'Contribution Allocation_Report'!$A$9:$D$314,4,FALSE)*'OPEB Amounts_Report'!$K$326,0)</f>
        <v>1169427</v>
      </c>
      <c r="L280" s="67">
        <f>INDEX('Change in Proportion Layers'!$AG$8:$AG$324,MATCH('OPEB Amounts_Report'!A280,'Change in Proportion Layers'!$A$8:$A$324,0))</f>
        <v>333236</v>
      </c>
      <c r="M280" s="67">
        <f t="shared" si="22"/>
        <v>1695290</v>
      </c>
      <c r="N280" s="68"/>
      <c r="O280" s="68">
        <f>ROUND(VLOOKUP(A280,'Contribution Allocation_Report'!$A$9:$D$314,4,FALSE)*'OPEB Amounts_Report'!$O$326,0)</f>
        <v>-375384</v>
      </c>
      <c r="P280" s="68">
        <f>INDEX('Change in Proportion Layers'!$AD$8:$AD$324,MATCH('OPEB Amounts_Report'!A280,'Change in Proportion Layers'!$A$8:$A$324,0))</f>
        <v>21889</v>
      </c>
      <c r="Q280" s="68">
        <f t="shared" si="23"/>
        <v>-353495</v>
      </c>
    </row>
    <row r="281" spans="1:17" ht="12" customHeight="1">
      <c r="A281" s="227">
        <v>4290</v>
      </c>
      <c r="B281" s="228" t="s">
        <v>261</v>
      </c>
      <c r="C281" s="84">
        <f>ROUND(VLOOKUP(A281,'Contribution Allocation_Report'!$A$9:$D$314,4,FALSE)*'OPEB Amounts_Report'!$C$326,0)</f>
        <v>757134</v>
      </c>
      <c r="D281" s="84">
        <f>ROUND(VLOOKUP(A281,'Contribution Allocation_Report'!$A$9:$D$314,4,FALSE)*'OPEB Amounts_Report'!$D$326,0)</f>
        <v>8114</v>
      </c>
      <c r="E281" s="84">
        <f>ROUND(VLOOKUP(A281,'Contribution Allocation_Report'!$A$9:$D$314,4,FALSE)*'OPEB Amounts_Report'!$E$326,0)</f>
        <v>6768</v>
      </c>
      <c r="F281" s="84">
        <f>ROUND(VLOOKUP(A281,'Contribution Allocation_Report'!$A$9:$D$314,4,FALSE)*'OPEB Amounts_Report'!$F$326,0)</f>
        <v>141679</v>
      </c>
      <c r="G281" s="84">
        <f>INDEX('Change in Proportion Layers'!$AF$8:$AF$324,MATCH('OPEB Amounts_Report'!A281,'Change in Proportion Layers'!$A$8:$A$324,0))</f>
        <v>210725</v>
      </c>
      <c r="H281" s="84">
        <f t="shared" si="24"/>
        <v>367286</v>
      </c>
      <c r="I281" s="84"/>
      <c r="J281" s="84">
        <f>ROUND(VLOOKUP(A281,'Contribution Allocation_Report'!$A$9:$D$314,4,FALSE)*'OPEB Amounts_Report'!$J$326,0)</f>
        <v>79086</v>
      </c>
      <c r="K281" s="84">
        <f>ROUND(VLOOKUP(A281,'Contribution Allocation_Report'!$A$9:$D$314,4,FALSE)*'OPEB Amounts_Report'!$K$326,0)</f>
        <v>480127</v>
      </c>
      <c r="L281" s="84">
        <f>INDEX('Change in Proportion Layers'!$AG$8:$AG$324,MATCH('OPEB Amounts_Report'!A281,'Change in Proportion Layers'!$A$8:$A$324,0))</f>
        <v>2525</v>
      </c>
      <c r="M281" s="84">
        <f t="shared" si="22"/>
        <v>561738</v>
      </c>
      <c r="N281" s="85"/>
      <c r="O281" s="85">
        <f>ROUND(VLOOKUP(A281,'Contribution Allocation_Report'!$A$9:$D$314,4,FALSE)*'OPEB Amounts_Report'!$O$326,0)</f>
        <v>-154120</v>
      </c>
      <c r="P281" s="85">
        <f>INDEX('Change in Proportion Layers'!$AD$8:$AD$324,MATCH('OPEB Amounts_Report'!A281,'Change in Proportion Layers'!$A$8:$A$324,0))</f>
        <v>74513</v>
      </c>
      <c r="Q281" s="85">
        <f t="shared" si="23"/>
        <v>-79607</v>
      </c>
    </row>
    <row r="282" spans="1:17" ht="12" customHeight="1">
      <c r="A282" s="59">
        <v>2270</v>
      </c>
      <c r="B282" s="63" t="s">
        <v>262</v>
      </c>
      <c r="C282" s="67">
        <f>ROUND(VLOOKUP(A282,'Contribution Allocation_Report'!$A$9:$D$314,4,FALSE)*'OPEB Amounts_Report'!$C$326,0)</f>
        <v>26038</v>
      </c>
      <c r="D282" s="67">
        <f>ROUND(VLOOKUP(A282,'Contribution Allocation_Report'!$A$9:$D$314,4,FALSE)*'OPEB Amounts_Report'!$D$326,0)</f>
        <v>279</v>
      </c>
      <c r="E282" s="67">
        <f>ROUND(VLOOKUP(A282,'Contribution Allocation_Report'!$A$9:$D$314,4,FALSE)*'OPEB Amounts_Report'!$E$326,0)</f>
        <v>233</v>
      </c>
      <c r="F282" s="67">
        <f>ROUND(VLOOKUP(A282,'Contribution Allocation_Report'!$A$9:$D$314,4,FALSE)*'OPEB Amounts_Report'!$F$326,0)</f>
        <v>4872</v>
      </c>
      <c r="G282" s="67">
        <f>INDEX('Change in Proportion Layers'!$AF$8:$AF$324,MATCH('OPEB Amounts_Report'!A282,'Change in Proportion Layers'!$A$8:$A$324,0))</f>
        <v>52</v>
      </c>
      <c r="H282" s="67">
        <f t="shared" si="24"/>
        <v>5436</v>
      </c>
      <c r="I282" s="67"/>
      <c r="J282" s="67">
        <f>ROUND(VLOOKUP(A282,'Contribution Allocation_Report'!$A$9:$D$314,4,FALSE)*'OPEB Amounts_Report'!$J$326,0)</f>
        <v>2720</v>
      </c>
      <c r="K282" s="67">
        <f>ROUND(VLOOKUP(A282,'Contribution Allocation_Report'!$A$9:$D$314,4,FALSE)*'OPEB Amounts_Report'!$K$326,0)</f>
        <v>16511</v>
      </c>
      <c r="L282" s="67">
        <f>INDEX('Change in Proportion Layers'!$AG$8:$AG$324,MATCH('OPEB Amounts_Report'!A282,'Change in Proportion Layers'!$A$8:$A$324,0))</f>
        <v>27173</v>
      </c>
      <c r="M282" s="67">
        <f t="shared" si="22"/>
        <v>46404</v>
      </c>
      <c r="N282" s="68"/>
      <c r="O282" s="68">
        <f>ROUND(VLOOKUP(A282,'Contribution Allocation_Report'!$A$9:$D$314,4,FALSE)*'OPEB Amounts_Report'!$O$326,0)</f>
        <v>-5300</v>
      </c>
      <c r="P282" s="68">
        <f>INDEX('Change in Proportion Layers'!$AD$8:$AD$324,MATCH('OPEB Amounts_Report'!A282,'Change in Proportion Layers'!$A$8:$A$324,0))</f>
        <v>-13198</v>
      </c>
      <c r="Q282" s="68">
        <f t="shared" si="23"/>
        <v>-18498</v>
      </c>
    </row>
    <row r="283" spans="1:17" ht="12" customHeight="1">
      <c r="A283" s="227">
        <v>2300</v>
      </c>
      <c r="B283" s="228" t="s">
        <v>263</v>
      </c>
      <c r="C283" s="84">
        <f>ROUND(VLOOKUP(A283,'Contribution Allocation_Report'!$A$9:$D$314,4,FALSE)*'OPEB Amounts_Report'!$C$326,0)</f>
        <v>290925</v>
      </c>
      <c r="D283" s="84">
        <f>ROUND(VLOOKUP(A283,'Contribution Allocation_Report'!$A$9:$D$314,4,FALSE)*'OPEB Amounts_Report'!$D$326,0)</f>
        <v>3118</v>
      </c>
      <c r="E283" s="84">
        <f>ROUND(VLOOKUP(A283,'Contribution Allocation_Report'!$A$9:$D$314,4,FALSE)*'OPEB Amounts_Report'!$E$326,0)</f>
        <v>2601</v>
      </c>
      <c r="F283" s="84">
        <f>ROUND(VLOOKUP(A283,'Contribution Allocation_Report'!$A$9:$D$314,4,FALSE)*'OPEB Amounts_Report'!$F$326,0)</f>
        <v>54439</v>
      </c>
      <c r="G283" s="84">
        <f>INDEX('Change in Proportion Layers'!$AF$8:$AF$324,MATCH('OPEB Amounts_Report'!A283,'Change in Proportion Layers'!$A$8:$A$324,0))</f>
        <v>186664</v>
      </c>
      <c r="H283" s="84">
        <f t="shared" si="24"/>
        <v>246822</v>
      </c>
      <c r="I283" s="84"/>
      <c r="J283" s="84">
        <f>ROUND(VLOOKUP(A283,'Contribution Allocation_Report'!$A$9:$D$314,4,FALSE)*'OPEB Amounts_Report'!$J$326,0)</f>
        <v>30388</v>
      </c>
      <c r="K283" s="84">
        <f>ROUND(VLOOKUP(A283,'Contribution Allocation_Report'!$A$9:$D$314,4,FALSE)*'OPEB Amounts_Report'!$K$326,0)</f>
        <v>184486</v>
      </c>
      <c r="L283" s="251">
        <f>INDEX('Change in Proportion Layers'!$AG$8:$AG$324,MATCH('OPEB Amounts_Report'!A283,'Change in Proportion Layers'!$A$8:$A$324,0))</f>
        <v>12348</v>
      </c>
      <c r="M283" s="84">
        <f t="shared" si="22"/>
        <v>227222</v>
      </c>
      <c r="N283" s="85"/>
      <c r="O283" s="85">
        <f>ROUND(VLOOKUP(A283,'Contribution Allocation_Report'!$A$9:$D$314,4,FALSE)*'OPEB Amounts_Report'!$O$326,0)</f>
        <v>-59220</v>
      </c>
      <c r="P283" s="85">
        <f>INDEX('Change in Proportion Layers'!$AD$8:$AD$324,MATCH('OPEB Amounts_Report'!A283,'Change in Proportion Layers'!$A$8:$A$324,0))</f>
        <v>26711</v>
      </c>
      <c r="Q283" s="85">
        <f t="shared" si="23"/>
        <v>-32509</v>
      </c>
    </row>
    <row r="284" spans="1:17" ht="12" customHeight="1">
      <c r="A284" s="59">
        <v>2720</v>
      </c>
      <c r="B284" s="63" t="s">
        <v>264</v>
      </c>
      <c r="C284" s="67">
        <f>ROUND(VLOOKUP(A284,'Contribution Allocation_Report'!$A$9:$D$314,4,FALSE)*'OPEB Amounts_Report'!$C$326,0)</f>
        <v>2298828</v>
      </c>
      <c r="D284" s="67">
        <f>ROUND(VLOOKUP(A284,'Contribution Allocation_Report'!$A$9:$D$314,4,FALSE)*'OPEB Amounts_Report'!$D$326,0)</f>
        <v>24637</v>
      </c>
      <c r="E284" s="67">
        <f>ROUND(VLOOKUP(A284,'Contribution Allocation_Report'!$A$9:$D$314,4,FALSE)*'OPEB Amounts_Report'!$E$326,0)</f>
        <v>20549</v>
      </c>
      <c r="F284" s="67">
        <f>ROUND(VLOOKUP(A284,'Contribution Allocation_Report'!$A$9:$D$314,4,FALSE)*'OPEB Amounts_Report'!$F$326,0)</f>
        <v>430168</v>
      </c>
      <c r="G284" s="67">
        <f>INDEX('Change in Proportion Layers'!$AF$8:$AF$324,MATCH('OPEB Amounts_Report'!A284,'Change in Proportion Layers'!$A$8:$A$324,0))</f>
        <v>72416</v>
      </c>
      <c r="H284" s="67">
        <f t="shared" si="24"/>
        <v>547770</v>
      </c>
      <c r="I284" s="67"/>
      <c r="J284" s="67">
        <f>ROUND(VLOOKUP(A284,'Contribution Allocation_Report'!$A$9:$D$314,4,FALSE)*'OPEB Amounts_Report'!$J$326,0)</f>
        <v>240123</v>
      </c>
      <c r="K284" s="67">
        <f>ROUND(VLOOKUP(A284,'Contribution Allocation_Report'!$A$9:$D$314,4,FALSE)*'OPEB Amounts_Report'!$K$326,0)</f>
        <v>1457772</v>
      </c>
      <c r="L284" s="250">
        <f>INDEX('Change in Proportion Layers'!$AG$8:$AG$324,MATCH('OPEB Amounts_Report'!A284,'Change in Proportion Layers'!$A$8:$A$324,0))</f>
        <v>297118</v>
      </c>
      <c r="M284" s="67">
        <f t="shared" si="22"/>
        <v>1995013</v>
      </c>
      <c r="N284" s="68"/>
      <c r="O284" s="68">
        <f>ROUND(VLOOKUP(A284,'Contribution Allocation_Report'!$A$9:$D$314,4,FALSE)*'OPEB Amounts_Report'!$O$326,0)</f>
        <v>-467942</v>
      </c>
      <c r="P284" s="68">
        <f>INDEX('Change in Proportion Layers'!$AD$8:$AD$324,MATCH('OPEB Amounts_Report'!A284,'Change in Proportion Layers'!$A$8:$A$324,0))</f>
        <v>-108684</v>
      </c>
      <c r="Q284" s="68">
        <f t="shared" si="23"/>
        <v>-576626</v>
      </c>
    </row>
    <row r="285" spans="1:17" ht="12" customHeight="1">
      <c r="A285" s="227">
        <v>2750</v>
      </c>
      <c r="B285" s="228" t="s">
        <v>265</v>
      </c>
      <c r="C285" s="84">
        <f>ROUND(VLOOKUP(A285,'Contribution Allocation_Report'!$A$9:$D$314,4,FALSE)*'OPEB Amounts_Report'!$C$326,0)</f>
        <v>139997</v>
      </c>
      <c r="D285" s="84">
        <f>ROUND(VLOOKUP(A285,'Contribution Allocation_Report'!$A$9:$D$314,4,FALSE)*'OPEB Amounts_Report'!$D$326,0)</f>
        <v>1500</v>
      </c>
      <c r="E285" s="84">
        <f>ROUND(VLOOKUP(A285,'Contribution Allocation_Report'!$A$9:$D$314,4,FALSE)*'OPEB Amounts_Report'!$E$326,0)</f>
        <v>1251</v>
      </c>
      <c r="F285" s="84">
        <f>ROUND(VLOOKUP(A285,'Contribution Allocation_Report'!$A$9:$D$314,4,FALSE)*'OPEB Amounts_Report'!$F$326,0)</f>
        <v>26197</v>
      </c>
      <c r="G285" s="84">
        <f>INDEX('Change in Proportion Layers'!$AF$8:$AF$324,MATCH('OPEB Amounts_Report'!A285,'Change in Proportion Layers'!$A$8:$A$324,0))</f>
        <v>33265</v>
      </c>
      <c r="H285" s="84">
        <f t="shared" si="24"/>
        <v>62213</v>
      </c>
      <c r="I285" s="84"/>
      <c r="J285" s="84">
        <f>ROUND(VLOOKUP(A285,'Contribution Allocation_Report'!$A$9:$D$314,4,FALSE)*'OPEB Amounts_Report'!$J$326,0)</f>
        <v>14623</v>
      </c>
      <c r="K285" s="84">
        <f>ROUND(VLOOKUP(A285,'Contribution Allocation_Report'!$A$9:$D$314,4,FALSE)*'OPEB Amounts_Report'!$K$326,0)</f>
        <v>88777</v>
      </c>
      <c r="L285" s="84">
        <f>INDEX('Change in Proportion Layers'!$AG$8:$AG$324,MATCH('OPEB Amounts_Report'!A285,'Change in Proportion Layers'!$A$8:$A$324,0))</f>
        <v>77872</v>
      </c>
      <c r="M285" s="84">
        <f t="shared" si="22"/>
        <v>181272</v>
      </c>
      <c r="N285" s="85"/>
      <c r="O285" s="85">
        <f>ROUND(VLOOKUP(A285,'Contribution Allocation_Report'!$A$9:$D$314,4,FALSE)*'OPEB Amounts_Report'!$O$326,0)</f>
        <v>-28497</v>
      </c>
      <c r="P285" s="85">
        <f>INDEX('Change in Proportion Layers'!$AD$8:$AD$324,MATCH('OPEB Amounts_Report'!A285,'Change in Proportion Layers'!$A$8:$A$324,0))</f>
        <v>-9625</v>
      </c>
      <c r="Q285" s="85">
        <f t="shared" si="23"/>
        <v>-38122</v>
      </c>
    </row>
    <row r="286" spans="1:17" ht="12" customHeight="1">
      <c r="A286" s="59">
        <v>2770</v>
      </c>
      <c r="B286" s="63" t="s">
        <v>266</v>
      </c>
      <c r="C286" s="67">
        <f>ROUND(VLOOKUP(A286,'Contribution Allocation_Report'!$A$9:$D$314,4,FALSE)*'OPEB Amounts_Report'!$C$326,0)</f>
        <v>2015989</v>
      </c>
      <c r="D286" s="67">
        <f>ROUND(VLOOKUP(A286,'Contribution Allocation_Report'!$A$9:$D$314,4,FALSE)*'OPEB Amounts_Report'!$D$326,0)</f>
        <v>21605</v>
      </c>
      <c r="E286" s="67">
        <f>ROUND(VLOOKUP(A286,'Contribution Allocation_Report'!$A$9:$D$314,4,FALSE)*'OPEB Amounts_Report'!$E$326,0)</f>
        <v>18021</v>
      </c>
      <c r="F286" s="67">
        <f>ROUND(VLOOKUP(A286,'Contribution Allocation_Report'!$A$9:$D$314,4,FALSE)*'OPEB Amounts_Report'!$F$326,0)</f>
        <v>377242</v>
      </c>
      <c r="G286" s="67">
        <f>INDEX('Change in Proportion Layers'!$AF$8:$AF$324,MATCH('OPEB Amounts_Report'!A286,'Change in Proportion Layers'!$A$8:$A$324,0))</f>
        <v>252396</v>
      </c>
      <c r="H286" s="67">
        <f t="shared" si="24"/>
        <v>669264</v>
      </c>
      <c r="I286" s="67"/>
      <c r="J286" s="67">
        <f>ROUND(VLOOKUP(A286,'Contribution Allocation_Report'!$A$9:$D$314,4,FALSE)*'OPEB Amounts_Report'!$J$326,0)</f>
        <v>210579</v>
      </c>
      <c r="K286" s="67">
        <f>ROUND(VLOOKUP(A286,'Contribution Allocation_Report'!$A$9:$D$314,4,FALSE)*'OPEB Amounts_Report'!$K$326,0)</f>
        <v>1278413</v>
      </c>
      <c r="L286" s="67">
        <f>INDEX('Change in Proportion Layers'!$AG$8:$AG$324,MATCH('OPEB Amounts_Report'!A286,'Change in Proportion Layers'!$A$8:$A$324,0))</f>
        <v>280490</v>
      </c>
      <c r="M286" s="67">
        <f t="shared" si="22"/>
        <v>1769482</v>
      </c>
      <c r="N286" s="68"/>
      <c r="O286" s="68">
        <f>ROUND(VLOOKUP(A286,'Contribution Allocation_Report'!$A$9:$D$314,4,FALSE)*'OPEB Amounts_Report'!$O$326,0)</f>
        <v>-410368</v>
      </c>
      <c r="P286" s="68">
        <f>INDEX('Change in Proportion Layers'!$AD$8:$AD$324,MATCH('OPEB Amounts_Report'!A286,'Change in Proportion Layers'!$A$8:$A$324,0))</f>
        <v>-139312</v>
      </c>
      <c r="Q286" s="68">
        <f t="shared" si="23"/>
        <v>-549680</v>
      </c>
    </row>
    <row r="287" spans="1:17" ht="12" customHeight="1">
      <c r="A287" s="227">
        <v>32106</v>
      </c>
      <c r="B287" s="228" t="s">
        <v>267</v>
      </c>
      <c r="C287" s="84">
        <f>ROUND(VLOOKUP(A287,'Contribution Allocation_Report'!$A$9:$D$314,4,FALSE)*'OPEB Amounts_Report'!$C$326,0)</f>
        <v>108803</v>
      </c>
      <c r="D287" s="84">
        <f>ROUND(VLOOKUP(A287,'Contribution Allocation_Report'!$A$9:$D$314,4,FALSE)*'OPEB Amounts_Report'!$D$326,0)</f>
        <v>1166</v>
      </c>
      <c r="E287" s="84">
        <f>ROUND(VLOOKUP(A287,'Contribution Allocation_Report'!$A$9:$D$314,4,FALSE)*'OPEB Amounts_Report'!$E$326,0)</f>
        <v>973</v>
      </c>
      <c r="F287" s="84">
        <f>ROUND(VLOOKUP(A287,'Contribution Allocation_Report'!$A$9:$D$314,4,FALSE)*'OPEB Amounts_Report'!$F$326,0)</f>
        <v>20360</v>
      </c>
      <c r="G287" s="84">
        <f>INDEX('Change in Proportion Layers'!$AF$8:$AF$324,MATCH('OPEB Amounts_Report'!A287,'Change in Proportion Layers'!$A$8:$A$324,0))</f>
        <v>66548</v>
      </c>
      <c r="H287" s="84">
        <f t="shared" si="24"/>
        <v>89047</v>
      </c>
      <c r="I287" s="84"/>
      <c r="J287" s="84">
        <f>ROUND(VLOOKUP(A287,'Contribution Allocation_Report'!$A$9:$D$314,4,FALSE)*'OPEB Amounts_Report'!$J$326,0)</f>
        <v>11365</v>
      </c>
      <c r="K287" s="84">
        <f>ROUND(VLOOKUP(A287,'Contribution Allocation_Report'!$A$9:$D$314,4,FALSE)*'OPEB Amounts_Report'!$K$326,0)</f>
        <v>68996</v>
      </c>
      <c r="L287" s="251">
        <f>INDEX('Change in Proportion Layers'!$AG$8:$AG$324,MATCH('OPEB Amounts_Report'!A287,'Change in Proportion Layers'!$A$8:$A$324,0))</f>
        <v>271540</v>
      </c>
      <c r="M287" s="84">
        <f t="shared" si="22"/>
        <v>351901</v>
      </c>
      <c r="N287" s="85"/>
      <c r="O287" s="85">
        <f>ROUND(VLOOKUP(A287,'Contribution Allocation_Report'!$A$9:$D$314,4,FALSE)*'OPEB Amounts_Report'!$O$326,0)</f>
        <v>-22148</v>
      </c>
      <c r="P287" s="85">
        <f>INDEX('Change in Proportion Layers'!$AD$8:$AD$324,MATCH('OPEB Amounts_Report'!A287,'Change in Proportion Layers'!$A$8:$A$324,0))</f>
        <v>-29012</v>
      </c>
      <c r="Q287" s="85">
        <f t="shared" si="23"/>
        <v>-51160</v>
      </c>
    </row>
    <row r="288" spans="1:17" ht="12" customHeight="1">
      <c r="A288" s="59">
        <v>4180</v>
      </c>
      <c r="B288" s="63" t="s">
        <v>268</v>
      </c>
      <c r="C288" s="67">
        <f>ROUND(VLOOKUP(A288,'Contribution Allocation_Report'!$A$9:$D$314,4,FALSE)*'OPEB Amounts_Report'!$C$326,0)</f>
        <v>212364</v>
      </c>
      <c r="D288" s="67">
        <f>ROUND(VLOOKUP(A288,'Contribution Allocation_Report'!$A$9:$D$314,4,FALSE)*'OPEB Amounts_Report'!$D$326,0)</f>
        <v>2276</v>
      </c>
      <c r="E288" s="67">
        <f>ROUND(VLOOKUP(A288,'Contribution Allocation_Report'!$A$9:$D$314,4,FALSE)*'OPEB Amounts_Report'!$E$326,0)</f>
        <v>1898</v>
      </c>
      <c r="F288" s="67">
        <f>ROUND(VLOOKUP(A288,'Contribution Allocation_Report'!$A$9:$D$314,4,FALSE)*'OPEB Amounts_Report'!$F$326,0)</f>
        <v>39739</v>
      </c>
      <c r="G288" s="250">
        <f>INDEX('Change in Proportion Layers'!$AF$8:$AF$324,MATCH('OPEB Amounts_Report'!A288,'Change in Proportion Layers'!$A$8:$A$324,0))</f>
        <v>33354</v>
      </c>
      <c r="H288" s="67">
        <f t="shared" si="24"/>
        <v>77267</v>
      </c>
      <c r="I288" s="67"/>
      <c r="J288" s="67">
        <f>ROUND(VLOOKUP(A288,'Contribution Allocation_Report'!$A$9:$D$314,4,FALSE)*'OPEB Amounts_Report'!$J$326,0)</f>
        <v>22182</v>
      </c>
      <c r="K288" s="67">
        <f>ROUND(VLOOKUP(A288,'Contribution Allocation_Report'!$A$9:$D$314,4,FALSE)*'OPEB Amounts_Report'!$K$326,0)</f>
        <v>134668</v>
      </c>
      <c r="L288" s="250">
        <f>INDEX('Change in Proportion Layers'!$AG$8:$AG$324,MATCH('OPEB Amounts_Report'!A288,'Change in Proportion Layers'!$A$8:$A$324,0))</f>
        <v>103633</v>
      </c>
      <c r="M288" s="67">
        <f t="shared" si="22"/>
        <v>260483</v>
      </c>
      <c r="N288" s="68"/>
      <c r="O288" s="68">
        <f>ROUND(VLOOKUP(A288,'Contribution Allocation_Report'!$A$9:$D$314,4,FALSE)*'OPEB Amounts_Report'!$O$326,0)</f>
        <v>-43228</v>
      </c>
      <c r="P288" s="68">
        <f>INDEX('Change in Proportion Layers'!$AD$8:$AD$324,MATCH('OPEB Amounts_Report'!A288,'Change in Proportion Layers'!$A$8:$A$324,0))</f>
        <v>-15698</v>
      </c>
      <c r="Q288" s="68">
        <f t="shared" si="23"/>
        <v>-58926</v>
      </c>
    </row>
    <row r="289" spans="1:17" ht="12" customHeight="1">
      <c r="A289" s="227">
        <v>21063</v>
      </c>
      <c r="B289" s="228" t="s">
        <v>269</v>
      </c>
      <c r="C289" s="84">
        <f>ROUND(VLOOKUP(A289,'Contribution Allocation_Report'!$A$9:$D$314,4,FALSE)*'OPEB Amounts_Report'!$C$326,0)</f>
        <v>3528716</v>
      </c>
      <c r="D289" s="84">
        <f>ROUND(VLOOKUP(A289,'Contribution Allocation_Report'!$A$9:$D$314,4,FALSE)*'OPEB Amounts_Report'!$D$326,0)</f>
        <v>37817</v>
      </c>
      <c r="E289" s="84">
        <f>ROUND(VLOOKUP(A289,'Contribution Allocation_Report'!$A$9:$D$314,4,FALSE)*'OPEB Amounts_Report'!$E$326,0)</f>
        <v>31543</v>
      </c>
      <c r="F289" s="84">
        <f>ROUND(VLOOKUP(A289,'Contribution Allocation_Report'!$A$9:$D$314,4,FALSE)*'OPEB Amounts_Report'!$F$326,0)</f>
        <v>660311</v>
      </c>
      <c r="G289" s="84">
        <f>INDEX('Change in Proportion Layers'!$AF$8:$AF$324,MATCH('OPEB Amounts_Report'!A289,'Change in Proportion Layers'!$A$8:$A$324,0))</f>
        <v>448554</v>
      </c>
      <c r="H289" s="84">
        <f t="shared" si="24"/>
        <v>1178225</v>
      </c>
      <c r="I289" s="84"/>
      <c r="J289" s="84">
        <f>ROUND(VLOOKUP(A289,'Contribution Allocation_Report'!$A$9:$D$314,4,FALSE)*'OPEB Amounts_Report'!$J$326,0)</f>
        <v>368590</v>
      </c>
      <c r="K289" s="84">
        <f>ROUND(VLOOKUP(A289,'Contribution Allocation_Report'!$A$9:$D$314,4,FALSE)*'OPEB Amounts_Report'!$K$326,0)</f>
        <v>2237689</v>
      </c>
      <c r="L289" s="84">
        <f>INDEX('Change in Proportion Layers'!$AG$8:$AG$324,MATCH('OPEB Amounts_Report'!A289,'Change in Proportion Layers'!$A$8:$A$324,0))</f>
        <v>132946</v>
      </c>
      <c r="M289" s="84">
        <f t="shared" si="22"/>
        <v>2739225</v>
      </c>
      <c r="N289" s="85"/>
      <c r="O289" s="85">
        <f>ROUND(VLOOKUP(A289,'Contribution Allocation_Report'!$A$9:$D$314,4,FALSE)*'OPEB Amounts_Report'!$O$326,0)</f>
        <v>-718294</v>
      </c>
      <c r="P289" s="85">
        <f>INDEX('Change in Proportion Layers'!$AD$8:$AD$324,MATCH('OPEB Amounts_Report'!A289,'Change in Proportion Layers'!$A$8:$A$324,0))</f>
        <v>95286</v>
      </c>
      <c r="Q289" s="85">
        <f t="shared" si="23"/>
        <v>-623008</v>
      </c>
    </row>
    <row r="290" spans="1:17" ht="12" customHeight="1">
      <c r="A290" s="59">
        <v>10033</v>
      </c>
      <c r="B290" s="63" t="s">
        <v>270</v>
      </c>
      <c r="C290" s="67">
        <f>ROUND(VLOOKUP(A290,'Contribution Allocation_Report'!$A$9:$D$314,4,FALSE)*'OPEB Amounts_Report'!$C$326,0)</f>
        <v>2209210</v>
      </c>
      <c r="D290" s="67">
        <f>ROUND(VLOOKUP(A290,'Contribution Allocation_Report'!$A$9:$D$314,4,FALSE)*'OPEB Amounts_Report'!$D$326,0)</f>
        <v>23676</v>
      </c>
      <c r="E290" s="67">
        <f>ROUND(VLOOKUP(A290,'Contribution Allocation_Report'!$A$9:$D$314,4,FALSE)*'OPEB Amounts_Report'!$E$326,0)</f>
        <v>19748</v>
      </c>
      <c r="F290" s="67">
        <f>ROUND(VLOOKUP(A290,'Contribution Allocation_Report'!$A$9:$D$314,4,FALSE)*'OPEB Amounts_Report'!$F$326,0)</f>
        <v>413399</v>
      </c>
      <c r="G290" s="67">
        <f>INDEX('Change in Proportion Layers'!$AF$8:$AF$324,MATCH('OPEB Amounts_Report'!A290,'Change in Proportion Layers'!$A$8:$A$324,0))</f>
        <v>133346</v>
      </c>
      <c r="H290" s="67">
        <f t="shared" si="24"/>
        <v>590169</v>
      </c>
      <c r="I290" s="67"/>
      <c r="J290" s="67">
        <f>ROUND(VLOOKUP(A290,'Contribution Allocation_Report'!$A$9:$D$314,4,FALSE)*'OPEB Amounts_Report'!$J$326,0)</f>
        <v>230762</v>
      </c>
      <c r="K290" s="67">
        <f>ROUND(VLOOKUP(A290,'Contribution Allocation_Report'!$A$9:$D$314,4,FALSE)*'OPEB Amounts_Report'!$K$326,0)</f>
        <v>1400942</v>
      </c>
      <c r="L290" s="67">
        <f>INDEX('Change in Proportion Layers'!$AG$8:$AG$324,MATCH('OPEB Amounts_Report'!A290,'Change in Proportion Layers'!$A$8:$A$324,0))</f>
        <v>331542</v>
      </c>
      <c r="M290" s="67">
        <f t="shared" si="22"/>
        <v>1963246</v>
      </c>
      <c r="N290" s="68"/>
      <c r="O290" s="68">
        <f>ROUND(VLOOKUP(A290,'Contribution Allocation_Report'!$A$9:$D$314,4,FALSE)*'OPEB Amounts_Report'!$O$326,0)</f>
        <v>-449699</v>
      </c>
      <c r="P290" s="68">
        <f>INDEX('Change in Proportion Layers'!$AD$8:$AD$324,MATCH('OPEB Amounts_Report'!A290,'Change in Proportion Layers'!$A$8:$A$324,0))</f>
        <v>-60923</v>
      </c>
      <c r="Q290" s="68">
        <f t="shared" si="23"/>
        <v>-510622</v>
      </c>
    </row>
    <row r="291" spans="1:17" ht="12" customHeight="1">
      <c r="A291" s="227">
        <v>15049</v>
      </c>
      <c r="B291" s="228" t="s">
        <v>271</v>
      </c>
      <c r="C291" s="84">
        <f>ROUND(VLOOKUP(A291,'Contribution Allocation_Report'!$A$9:$D$314,4,FALSE)*'OPEB Amounts_Report'!$C$326,0)</f>
        <v>2696832</v>
      </c>
      <c r="D291" s="84">
        <f>ROUND(VLOOKUP(A291,'Contribution Allocation_Report'!$A$9:$D$314,4,FALSE)*'OPEB Amounts_Report'!$D$326,0)</f>
        <v>28902</v>
      </c>
      <c r="E291" s="84">
        <f>ROUND(VLOOKUP(A291,'Contribution Allocation_Report'!$A$9:$D$314,4,FALSE)*'OPEB Amounts_Report'!$E$326,0)</f>
        <v>24107</v>
      </c>
      <c r="F291" s="84">
        <f>ROUND(VLOOKUP(A291,'Contribution Allocation_Report'!$A$9:$D$314,4,FALSE)*'OPEB Amounts_Report'!$F$326,0)</f>
        <v>504645</v>
      </c>
      <c r="G291" s="84">
        <f>INDEX('Change in Proportion Layers'!$AF$8:$AF$324,MATCH('OPEB Amounts_Report'!A291,'Change in Proportion Layers'!$A$8:$A$324,0))</f>
        <v>461366</v>
      </c>
      <c r="H291" s="84">
        <f t="shared" si="24"/>
        <v>1019020</v>
      </c>
      <c r="I291" s="84"/>
      <c r="J291" s="84">
        <f>ROUND(VLOOKUP(A291,'Contribution Allocation_Report'!$A$9:$D$314,4,FALSE)*'OPEB Amounts_Report'!$J$326,0)</f>
        <v>281696</v>
      </c>
      <c r="K291" s="84">
        <f>ROUND(VLOOKUP(A291,'Contribution Allocation_Report'!$A$9:$D$314,4,FALSE)*'OPEB Amounts_Report'!$K$326,0)</f>
        <v>1710161</v>
      </c>
      <c r="L291" s="84">
        <f>INDEX('Change in Proportion Layers'!$AG$8:$AG$324,MATCH('OPEB Amounts_Report'!A291,'Change in Proportion Layers'!$A$8:$A$324,0))</f>
        <v>18247</v>
      </c>
      <c r="M291" s="84">
        <f t="shared" si="22"/>
        <v>2010104</v>
      </c>
      <c r="N291" s="85"/>
      <c r="O291" s="85">
        <f>ROUND(VLOOKUP(A291,'Contribution Allocation_Report'!$A$9:$D$314,4,FALSE)*'OPEB Amounts_Report'!$O$326,0)</f>
        <v>-548958</v>
      </c>
      <c r="P291" s="85">
        <f>INDEX('Change in Proportion Layers'!$AD$8:$AD$324,MATCH('OPEB Amounts_Report'!A291,'Change in Proportion Layers'!$A$8:$A$324,0))</f>
        <v>104172</v>
      </c>
      <c r="Q291" s="85">
        <f t="shared" si="23"/>
        <v>-444786</v>
      </c>
    </row>
    <row r="292" spans="1:17" ht="12" customHeight="1">
      <c r="A292" s="59">
        <v>1315</v>
      </c>
      <c r="B292" s="63" t="s">
        <v>272</v>
      </c>
      <c r="C292" s="67">
        <f>ROUND(VLOOKUP(A292,'Contribution Allocation_Report'!$A$9:$D$314,4,FALSE)*'OPEB Amounts_Report'!$C$326,0)</f>
        <v>1468598</v>
      </c>
      <c r="D292" s="67">
        <f>ROUND(VLOOKUP(A292,'Contribution Allocation_Report'!$A$9:$D$314,4,FALSE)*'OPEB Amounts_Report'!$D$326,0)</f>
        <v>15739</v>
      </c>
      <c r="E292" s="67">
        <f>ROUND(VLOOKUP(A292,'Contribution Allocation_Report'!$A$9:$D$314,4,FALSE)*'OPEB Amounts_Report'!$E$326,0)</f>
        <v>13128</v>
      </c>
      <c r="F292" s="67">
        <f>ROUND(VLOOKUP(A292,'Contribution Allocation_Report'!$A$9:$D$314,4,FALSE)*'OPEB Amounts_Report'!$F$326,0)</f>
        <v>274811</v>
      </c>
      <c r="G292" s="67">
        <f>INDEX('Change in Proportion Layers'!$AF$8:$AF$324,MATCH('OPEB Amounts_Report'!A292,'Change in Proportion Layers'!$A$8:$A$324,0))</f>
        <v>424346</v>
      </c>
      <c r="H292" s="67">
        <f t="shared" si="24"/>
        <v>728024</v>
      </c>
      <c r="I292" s="67"/>
      <c r="J292" s="67">
        <f>ROUND(VLOOKUP(A292,'Contribution Allocation_Report'!$A$9:$D$314,4,FALSE)*'OPEB Amounts_Report'!$J$326,0)</f>
        <v>153401</v>
      </c>
      <c r="K292" s="67">
        <f>ROUND(VLOOKUP(A292,'Contribution Allocation_Report'!$A$9:$D$314,4,FALSE)*'OPEB Amounts_Report'!$K$326,0)</f>
        <v>931292</v>
      </c>
      <c r="L292" s="67">
        <f>INDEX('Change in Proportion Layers'!$AG$8:$AG$324,MATCH('OPEB Amounts_Report'!A292,'Change in Proportion Layers'!$A$8:$A$324,0))</f>
        <v>204294</v>
      </c>
      <c r="M292" s="67">
        <f t="shared" si="22"/>
        <v>1288987</v>
      </c>
      <c r="N292" s="68"/>
      <c r="O292" s="68">
        <f>ROUND(VLOOKUP(A292,'Contribution Allocation_Report'!$A$9:$D$314,4,FALSE)*'OPEB Amounts_Report'!$O$326,0)</f>
        <v>-298943</v>
      </c>
      <c r="P292" s="68">
        <f>INDEX('Change in Proportion Layers'!$AD$8:$AD$324,MATCH('OPEB Amounts_Report'!A292,'Change in Proportion Layers'!$A$8:$A$324,0))</f>
        <v>219052</v>
      </c>
      <c r="Q292" s="68">
        <f t="shared" si="23"/>
        <v>-79891</v>
      </c>
    </row>
    <row r="293" spans="1:17" ht="12" customHeight="1">
      <c r="A293" s="227">
        <v>3340</v>
      </c>
      <c r="B293" s="228" t="s">
        <v>273</v>
      </c>
      <c r="C293" s="84">
        <f>ROUND(VLOOKUP(A293,'Contribution Allocation_Report'!$A$9:$D$314,4,FALSE)*'OPEB Amounts_Report'!$C$326,0)</f>
        <v>473342</v>
      </c>
      <c r="D293" s="84">
        <f>ROUND(VLOOKUP(A293,'Contribution Allocation_Report'!$A$9:$D$314,4,FALSE)*'OPEB Amounts_Report'!$D$326,0)</f>
        <v>5073</v>
      </c>
      <c r="E293" s="84">
        <f>ROUND(VLOOKUP(A293,'Contribution Allocation_Report'!$A$9:$D$314,4,FALSE)*'OPEB Amounts_Report'!$E$326,0)</f>
        <v>4231</v>
      </c>
      <c r="F293" s="84">
        <f>ROUND(VLOOKUP(A293,'Contribution Allocation_Report'!$A$9:$D$314,4,FALSE)*'OPEB Amounts_Report'!$F$326,0)</f>
        <v>88574</v>
      </c>
      <c r="G293" s="84">
        <f>INDEX('Change in Proportion Layers'!$AF$8:$AF$324,MATCH('OPEB Amounts_Report'!A293,'Change in Proportion Layers'!$A$8:$A$324,0))</f>
        <v>49378</v>
      </c>
      <c r="H293" s="84">
        <f t="shared" si="24"/>
        <v>147256</v>
      </c>
      <c r="I293" s="84"/>
      <c r="J293" s="84">
        <f>ROUND(VLOOKUP(A293,'Contribution Allocation_Report'!$A$9:$D$314,4,FALSE)*'OPEB Amounts_Report'!$J$326,0)</f>
        <v>49443</v>
      </c>
      <c r="K293" s="84">
        <f>ROUND(VLOOKUP(A293,'Contribution Allocation_Report'!$A$9:$D$314,4,FALSE)*'OPEB Amounts_Report'!$K$326,0)</f>
        <v>300164</v>
      </c>
      <c r="L293" s="251">
        <f>INDEX('Change in Proportion Layers'!$AG$8:$AG$324,MATCH('OPEB Amounts_Report'!A293,'Change in Proportion Layers'!$A$8:$A$324,0))</f>
        <v>245517</v>
      </c>
      <c r="M293" s="84">
        <f t="shared" si="22"/>
        <v>595124</v>
      </c>
      <c r="N293" s="85"/>
      <c r="O293" s="85">
        <f>ROUND(VLOOKUP(A293,'Contribution Allocation_Report'!$A$9:$D$314,4,FALSE)*'OPEB Amounts_Report'!$O$326,0)</f>
        <v>-96352</v>
      </c>
      <c r="P293" s="85">
        <f>INDEX('Change in Proportion Layers'!$AD$8:$AD$324,MATCH('OPEB Amounts_Report'!A293,'Change in Proportion Layers'!$A$8:$A$324,0))</f>
        <v>-59364</v>
      </c>
      <c r="Q293" s="85">
        <f t="shared" si="23"/>
        <v>-155716</v>
      </c>
    </row>
    <row r="294" spans="1:17" ht="12" customHeight="1">
      <c r="A294" s="59">
        <v>3350</v>
      </c>
      <c r="B294" s="63" t="s">
        <v>274</v>
      </c>
      <c r="C294" s="67">
        <f>ROUND(VLOOKUP(A294,'Contribution Allocation_Report'!$A$9:$D$314,4,FALSE)*'OPEB Amounts_Report'!$C$326,0)</f>
        <v>3754842</v>
      </c>
      <c r="D294" s="67">
        <f>ROUND(VLOOKUP(A294,'Contribution Allocation_Report'!$A$9:$D$314,4,FALSE)*'OPEB Amounts_Report'!$D$326,0)</f>
        <v>40241</v>
      </c>
      <c r="E294" s="67">
        <f>ROUND(VLOOKUP(A294,'Contribution Allocation_Report'!$A$9:$D$314,4,FALSE)*'OPEB Amounts_Report'!$E$326,0)</f>
        <v>33565</v>
      </c>
      <c r="F294" s="67">
        <f>ROUND(VLOOKUP(A294,'Contribution Allocation_Report'!$A$9:$D$314,4,FALSE)*'OPEB Amounts_Report'!$F$326,0)</f>
        <v>702625</v>
      </c>
      <c r="G294" s="67">
        <f>INDEX('Change in Proportion Layers'!$AF$8:$AF$324,MATCH('OPEB Amounts_Report'!A294,'Change in Proportion Layers'!$A$8:$A$324,0))</f>
        <v>1171242</v>
      </c>
      <c r="H294" s="67">
        <f t="shared" si="24"/>
        <v>1947673</v>
      </c>
      <c r="I294" s="67"/>
      <c r="J294" s="67">
        <f>ROUND(VLOOKUP(A294,'Contribution Allocation_Report'!$A$9:$D$314,4,FALSE)*'OPEB Amounts_Report'!$J$326,0)</f>
        <v>392210</v>
      </c>
      <c r="K294" s="67">
        <f>ROUND(VLOOKUP(A294,'Contribution Allocation_Report'!$A$9:$D$314,4,FALSE)*'OPEB Amounts_Report'!$K$326,0)</f>
        <v>2381084</v>
      </c>
      <c r="L294" s="250">
        <f>INDEX('Change in Proportion Layers'!$AG$8:$AG$324,MATCH('OPEB Amounts_Report'!A294,'Change in Proportion Layers'!$A$8:$A$324,0))</f>
        <v>900438</v>
      </c>
      <c r="M294" s="67">
        <f t="shared" si="22"/>
        <v>3673732</v>
      </c>
      <c r="N294" s="68"/>
      <c r="O294" s="68">
        <f>ROUND(VLOOKUP(A294,'Contribution Allocation_Report'!$A$9:$D$314,4,FALSE)*'OPEB Amounts_Report'!$O$326,0)</f>
        <v>-764323</v>
      </c>
      <c r="P294" s="68">
        <f>INDEX('Change in Proportion Layers'!$AD$8:$AD$324,MATCH('OPEB Amounts_Report'!A294,'Change in Proportion Layers'!$A$8:$A$324,0))</f>
        <v>-168384</v>
      </c>
      <c r="Q294" s="68">
        <f t="shared" si="23"/>
        <v>-932707</v>
      </c>
    </row>
    <row r="295" spans="1:17" ht="12" customHeight="1">
      <c r="A295" s="227">
        <v>24073</v>
      </c>
      <c r="B295" s="228" t="s">
        <v>275</v>
      </c>
      <c r="C295" s="84">
        <f>ROUND(VLOOKUP(A295,'Contribution Allocation_Report'!$A$9:$D$314,4,FALSE)*'OPEB Amounts_Report'!$C$326,0)</f>
        <v>435015</v>
      </c>
      <c r="D295" s="84">
        <f>ROUND(VLOOKUP(A295,'Contribution Allocation_Report'!$A$9:$D$314,4,FALSE)*'OPEB Amounts_Report'!$D$326,0)</f>
        <v>4662</v>
      </c>
      <c r="E295" s="84">
        <f>ROUND(VLOOKUP(A295,'Contribution Allocation_Report'!$A$9:$D$314,4,FALSE)*'OPEB Amounts_Report'!$E$326,0)</f>
        <v>3889</v>
      </c>
      <c r="F295" s="84">
        <f>ROUND(VLOOKUP(A295,'Contribution Allocation_Report'!$A$9:$D$314,4,FALSE)*'OPEB Amounts_Report'!$F$326,0)</f>
        <v>81402</v>
      </c>
      <c r="G295" s="84">
        <f>INDEX('Change in Proportion Layers'!$AF$8:$AF$324,MATCH('OPEB Amounts_Report'!A295,'Change in Proportion Layers'!$A$8:$A$324,0))</f>
        <v>87703</v>
      </c>
      <c r="H295" s="84">
        <f t="shared" si="24"/>
        <v>177656</v>
      </c>
      <c r="I295" s="84"/>
      <c r="J295" s="84">
        <f>ROUND(VLOOKUP(A295,'Contribution Allocation_Report'!$A$9:$D$314,4,FALSE)*'OPEB Amounts_Report'!$J$326,0)</f>
        <v>45439</v>
      </c>
      <c r="K295" s="84">
        <f>ROUND(VLOOKUP(A295,'Contribution Allocation_Report'!$A$9:$D$314,4,FALSE)*'OPEB Amounts_Report'!$K$326,0)</f>
        <v>275859</v>
      </c>
      <c r="L295" s="251">
        <f>INDEX('Change in Proportion Layers'!$AG$8:$AG$324,MATCH('OPEB Amounts_Report'!A295,'Change in Proportion Layers'!$A$8:$A$324,0))</f>
        <v>43615</v>
      </c>
      <c r="M295" s="84">
        <f t="shared" si="22"/>
        <v>364913</v>
      </c>
      <c r="N295" s="85"/>
      <c r="O295" s="85">
        <f>ROUND(VLOOKUP(A295,'Contribution Allocation_Report'!$A$9:$D$314,4,FALSE)*'OPEB Amounts_Report'!$O$326,0)</f>
        <v>-88550</v>
      </c>
      <c r="P295" s="85">
        <f>INDEX('Change in Proportion Layers'!$AD$8:$AD$324,MATCH('OPEB Amounts_Report'!A295,'Change in Proportion Layers'!$A$8:$A$324,0))</f>
        <v>20303</v>
      </c>
      <c r="Q295" s="85">
        <f t="shared" si="23"/>
        <v>-68247</v>
      </c>
    </row>
    <row r="296" spans="1:17" ht="12" customHeight="1">
      <c r="A296" s="59">
        <v>2100</v>
      </c>
      <c r="B296" s="63" t="s">
        <v>276</v>
      </c>
      <c r="C296" s="67">
        <f>ROUND(VLOOKUP(A296,'Contribution Allocation_Report'!$A$9:$D$314,4,FALSE)*'OPEB Amounts_Report'!$C$326,0)</f>
        <v>412550</v>
      </c>
      <c r="D296" s="67">
        <f>ROUND(VLOOKUP(A296,'Contribution Allocation_Report'!$A$9:$D$314,4,FALSE)*'OPEB Amounts_Report'!$D$326,0)</f>
        <v>4421</v>
      </c>
      <c r="E296" s="67">
        <f>ROUND(VLOOKUP(A296,'Contribution Allocation_Report'!$A$9:$D$314,4,FALSE)*'OPEB Amounts_Report'!$E$326,0)</f>
        <v>3688</v>
      </c>
      <c r="F296" s="67">
        <f>ROUND(VLOOKUP(A296,'Contribution Allocation_Report'!$A$9:$D$314,4,FALSE)*'OPEB Amounts_Report'!$F$326,0)</f>
        <v>77199</v>
      </c>
      <c r="G296" s="67">
        <f>INDEX('Change in Proportion Layers'!$AF$8:$AF$324,MATCH('OPEB Amounts_Report'!A296,'Change in Proportion Layers'!$A$8:$A$324,0))</f>
        <v>12691</v>
      </c>
      <c r="H296" s="67">
        <f t="shared" si="24"/>
        <v>97999</v>
      </c>
      <c r="I296" s="67"/>
      <c r="J296" s="67">
        <f>ROUND(VLOOKUP(A296,'Contribution Allocation_Report'!$A$9:$D$314,4,FALSE)*'OPEB Amounts_Report'!$J$326,0)</f>
        <v>43093</v>
      </c>
      <c r="K296" s="67">
        <f>ROUND(VLOOKUP(A296,'Contribution Allocation_Report'!$A$9:$D$314,4,FALSE)*'OPEB Amounts_Report'!$K$326,0)</f>
        <v>261614</v>
      </c>
      <c r="L296" s="250">
        <f>INDEX('Change in Proportion Layers'!$AG$8:$AG$324,MATCH('OPEB Amounts_Report'!A296,'Change in Proportion Layers'!$A$8:$A$324,0))</f>
        <v>168961</v>
      </c>
      <c r="M296" s="67">
        <f t="shared" si="22"/>
        <v>473668</v>
      </c>
      <c r="N296" s="68"/>
      <c r="O296" s="68">
        <f>ROUND(VLOOKUP(A296,'Contribution Allocation_Report'!$A$9:$D$314,4,FALSE)*'OPEB Amounts_Report'!$O$326,0)</f>
        <v>-83977</v>
      </c>
      <c r="P296" s="68">
        <f>INDEX('Change in Proportion Layers'!$AD$8:$AD$324,MATCH('OPEB Amounts_Report'!A296,'Change in Proportion Layers'!$A$8:$A$324,0))</f>
        <v>-41602</v>
      </c>
      <c r="Q296" s="68">
        <f t="shared" si="23"/>
        <v>-125579</v>
      </c>
    </row>
    <row r="297" spans="1:17" s="161" customFormat="1" ht="12" customHeight="1">
      <c r="A297" s="227">
        <v>2130</v>
      </c>
      <c r="B297" s="228" t="s">
        <v>277</v>
      </c>
      <c r="C297" s="84">
        <f>ROUND(VLOOKUP(A297,'Contribution Allocation_Report'!$A$9:$D$314,4,FALSE)*'OPEB Amounts_Report'!$C$326,0)</f>
        <v>133145</v>
      </c>
      <c r="D297" s="84">
        <f>ROUND(VLOOKUP(A297,'Contribution Allocation_Report'!$A$9:$D$314,4,FALSE)*'OPEB Amounts_Report'!$D$326,0)</f>
        <v>1427</v>
      </c>
      <c r="E297" s="84">
        <f>ROUND(VLOOKUP(A297,'Contribution Allocation_Report'!$A$9:$D$314,4,FALSE)*'OPEB Amounts_Report'!$E$326,0)</f>
        <v>1190</v>
      </c>
      <c r="F297" s="84">
        <f>ROUND(VLOOKUP(A297,'Contribution Allocation_Report'!$A$9:$D$314,4,FALSE)*'OPEB Amounts_Report'!$F$326,0)</f>
        <v>24915</v>
      </c>
      <c r="G297" s="84">
        <f>INDEX('Change in Proportion Layers'!$AF$8:$AF$324,MATCH('OPEB Amounts_Report'!A297,'Change in Proportion Layers'!$A$8:$A$324,0))</f>
        <v>27968</v>
      </c>
      <c r="H297" s="84">
        <f t="shared" si="24"/>
        <v>55500</v>
      </c>
      <c r="I297" s="84"/>
      <c r="J297" s="84">
        <f>ROUND(VLOOKUP(A297,'Contribution Allocation_Report'!$A$9:$D$314,4,FALSE)*'OPEB Amounts_Report'!$J$326,0)</f>
        <v>13908</v>
      </c>
      <c r="K297" s="84">
        <f>ROUND(VLOOKUP(A297,'Contribution Allocation_Report'!$A$9:$D$314,4,FALSE)*'OPEB Amounts_Report'!$K$326,0)</f>
        <v>84432</v>
      </c>
      <c r="L297" s="251">
        <f>INDEX('Change in Proportion Layers'!$AG$8:$AG$324,MATCH('OPEB Amounts_Report'!A297,'Change in Proportion Layers'!$A$8:$A$324,0))</f>
        <v>76310</v>
      </c>
      <c r="M297" s="84">
        <f t="shared" si="22"/>
        <v>174650</v>
      </c>
      <c r="N297" s="85"/>
      <c r="O297" s="85">
        <f>ROUND(VLOOKUP(A297,'Contribution Allocation_Report'!$A$9:$D$314,4,FALSE)*'OPEB Amounts_Report'!$O$326,0)</f>
        <v>-27102</v>
      </c>
      <c r="P297" s="85">
        <f>INDEX('Change in Proportion Layers'!$AD$8:$AD$324,MATCH('OPEB Amounts_Report'!A297,'Change in Proportion Layers'!$A$8:$A$324,0))</f>
        <v>-26393</v>
      </c>
      <c r="Q297" s="85">
        <f t="shared" si="23"/>
        <v>-53495</v>
      </c>
    </row>
    <row r="298" spans="1:17" s="161" customFormat="1" ht="12" customHeight="1">
      <c r="A298" s="59">
        <v>32099</v>
      </c>
      <c r="B298" s="60" t="s">
        <v>278</v>
      </c>
      <c r="C298" s="154">
        <f>ROUND(VLOOKUP(A298,'Contribution Allocation_Report'!$A$9:$D$314,4,FALSE)*'OPEB Amounts_Report'!$C$326,0)</f>
        <v>167815</v>
      </c>
      <c r="D298" s="154">
        <f>ROUND(VLOOKUP(A298,'Contribution Allocation_Report'!$A$9:$D$314,4,FALSE)*'OPEB Amounts_Report'!$D$326,0)</f>
        <v>1798</v>
      </c>
      <c r="E298" s="154">
        <f>ROUND(VLOOKUP(A298,'Contribution Allocation_Report'!$A$9:$D$314,4,FALSE)*'OPEB Amounts_Report'!$E$326,0)</f>
        <v>1500</v>
      </c>
      <c r="F298" s="154">
        <f>ROUND(VLOOKUP(A298,'Contribution Allocation_Report'!$A$9:$D$314,4,FALSE)*'OPEB Amounts_Report'!$F$326,0)</f>
        <v>31402</v>
      </c>
      <c r="G298" s="154">
        <f>INDEX('Change in Proportion Layers'!$AF$8:$AF$324,MATCH('OPEB Amounts_Report'!A298,'Change in Proportion Layers'!$A$8:$A$324,0))</f>
        <v>25466</v>
      </c>
      <c r="H298" s="154">
        <f t="shared" si="24"/>
        <v>60166</v>
      </c>
      <c r="I298" s="154"/>
      <c r="J298" s="154">
        <f>ROUND(VLOOKUP(A298,'Contribution Allocation_Report'!$A$9:$D$314,4,FALSE)*'OPEB Amounts_Report'!$J$326,0)</f>
        <v>17529</v>
      </c>
      <c r="K298" s="154">
        <f>ROUND(VLOOKUP(A298,'Contribution Allocation_Report'!$A$9:$D$314,4,FALSE)*'OPEB Amounts_Report'!$K$326,0)</f>
        <v>106417</v>
      </c>
      <c r="L298" s="156">
        <f>INDEX('Change in Proportion Layers'!$AG$8:$AG$324,MATCH('OPEB Amounts_Report'!A298,'Change in Proportion Layers'!$A$8:$A$324,0))</f>
        <v>47177</v>
      </c>
      <c r="M298" s="154">
        <f t="shared" si="22"/>
        <v>171123</v>
      </c>
      <c r="N298" s="155"/>
      <c r="O298" s="155">
        <f>ROUND(VLOOKUP(A298,'Contribution Allocation_Report'!$A$9:$D$314,4,FALSE)*'OPEB Amounts_Report'!$O$326,0)</f>
        <v>-34160</v>
      </c>
      <c r="P298" s="155">
        <f>INDEX('Change in Proportion Layers'!$AD$8:$AD$324,MATCH('OPEB Amounts_Report'!A298,'Change in Proportion Layers'!$A$8:$A$324,0))</f>
        <v>-16235</v>
      </c>
      <c r="Q298" s="155">
        <f t="shared" si="23"/>
        <v>-50395</v>
      </c>
    </row>
    <row r="299" spans="1:17" s="161" customFormat="1" ht="12" customHeight="1">
      <c r="A299" s="227">
        <v>32100</v>
      </c>
      <c r="B299" s="228" t="s">
        <v>279</v>
      </c>
      <c r="C299" s="84">
        <f>ROUND(VLOOKUP(A299,'Contribution Allocation_Report'!$A$9:$D$314,4,FALSE)*'OPEB Amounts_Report'!$C$326,0)</f>
        <v>320704</v>
      </c>
      <c r="D299" s="84">
        <f>ROUND(VLOOKUP(A299,'Contribution Allocation_Report'!$A$9:$D$314,4,FALSE)*'OPEB Amounts_Report'!$D$326,0)</f>
        <v>3437</v>
      </c>
      <c r="E299" s="84">
        <f>ROUND(VLOOKUP(A299,'Contribution Allocation_Report'!$A$9:$D$314,4,FALSE)*'OPEB Amounts_Report'!$E$326,0)</f>
        <v>2867</v>
      </c>
      <c r="F299" s="84">
        <f>ROUND(VLOOKUP(A299,'Contribution Allocation_Report'!$A$9:$D$314,4,FALSE)*'OPEB Amounts_Report'!$F$326,0)</f>
        <v>60012</v>
      </c>
      <c r="G299" s="84">
        <f>INDEX('Change in Proportion Layers'!$AF$8:$AF$324,MATCH('OPEB Amounts_Report'!A299,'Change in Proportion Layers'!$A$8:$A$324,0))</f>
        <v>47899</v>
      </c>
      <c r="H299" s="84">
        <f t="shared" si="24"/>
        <v>114215</v>
      </c>
      <c r="I299" s="84"/>
      <c r="J299" s="84">
        <f>ROUND(VLOOKUP(A299,'Contribution Allocation_Report'!$A$9:$D$314,4,FALSE)*'OPEB Amounts_Report'!$J$326,0)</f>
        <v>33499</v>
      </c>
      <c r="K299" s="84">
        <f>ROUND(VLOOKUP(A299,'Contribution Allocation_Report'!$A$9:$D$314,4,FALSE)*'OPEB Amounts_Report'!$K$326,0)</f>
        <v>203371</v>
      </c>
      <c r="L299" s="84">
        <f>INDEX('Change in Proportion Layers'!$AG$8:$AG$324,MATCH('OPEB Amounts_Report'!A299,'Change in Proportion Layers'!$A$8:$A$324,0))</f>
        <v>128802</v>
      </c>
      <c r="M299" s="84">
        <f t="shared" si="22"/>
        <v>365672</v>
      </c>
      <c r="N299" s="85"/>
      <c r="O299" s="85">
        <f>ROUND(VLOOKUP(A299,'Contribution Allocation_Report'!$A$9:$D$314,4,FALSE)*'OPEB Amounts_Report'!$O$326,0)</f>
        <v>-65282</v>
      </c>
      <c r="P299" s="85">
        <f>INDEX('Change in Proportion Layers'!$AD$8:$AD$324,MATCH('OPEB Amounts_Report'!A299,'Change in Proportion Layers'!$A$8:$A$324,0))</f>
        <v>-20044</v>
      </c>
      <c r="Q299" s="85">
        <f t="shared" si="23"/>
        <v>-85326</v>
      </c>
    </row>
    <row r="300" spans="1:17" s="161" customFormat="1" ht="12" customHeight="1">
      <c r="A300" s="59">
        <v>32101</v>
      </c>
      <c r="B300" s="63" t="s">
        <v>280</v>
      </c>
      <c r="C300" s="67">
        <f>ROUND(VLOOKUP(A300,'Contribution Allocation_Report'!$A$9:$D$314,4,FALSE)*'OPEB Amounts_Report'!$C$326,0)</f>
        <v>113848</v>
      </c>
      <c r="D300" s="67">
        <f>ROUND(VLOOKUP(A300,'Contribution Allocation_Report'!$A$9:$D$314,4,FALSE)*'OPEB Amounts_Report'!$D$326,0)</f>
        <v>1220</v>
      </c>
      <c r="E300" s="67">
        <f>ROUND(VLOOKUP(A300,'Contribution Allocation_Report'!$A$9:$D$314,4,FALSE)*'OPEB Amounts_Report'!$E$326,0)</f>
        <v>1018</v>
      </c>
      <c r="F300" s="67">
        <f>ROUND(VLOOKUP(A300,'Contribution Allocation_Report'!$A$9:$D$314,4,FALSE)*'OPEB Amounts_Report'!$F$326,0)</f>
        <v>21304</v>
      </c>
      <c r="G300" s="67">
        <f>INDEX('Change in Proportion Layers'!$AF$8:$AF$324,MATCH('OPEB Amounts_Report'!A300,'Change in Proportion Layers'!$A$8:$A$324,0))</f>
        <v>154730</v>
      </c>
      <c r="H300" s="67">
        <f t="shared" si="24"/>
        <v>178272</v>
      </c>
      <c r="I300" s="67"/>
      <c r="J300" s="67">
        <f>ROUND(VLOOKUP(A300,'Contribution Allocation_Report'!$A$9:$D$314,4,FALSE)*'OPEB Amounts_Report'!$J$326,0)</f>
        <v>11892</v>
      </c>
      <c r="K300" s="67">
        <f>ROUND(VLOOKUP(A300,'Contribution Allocation_Report'!$A$9:$D$314,4,FALSE)*'OPEB Amounts_Report'!$K$326,0)</f>
        <v>72195</v>
      </c>
      <c r="L300" s="67">
        <f>INDEX('Change in Proportion Layers'!$AG$8:$AG$324,MATCH('OPEB Amounts_Report'!A300,'Change in Proportion Layers'!$A$8:$A$324,0))</f>
        <v>132626</v>
      </c>
      <c r="M300" s="67">
        <f t="shared" si="22"/>
        <v>216713</v>
      </c>
      <c r="N300" s="68"/>
      <c r="O300" s="68">
        <f>ROUND(VLOOKUP(A300,'Contribution Allocation_Report'!$A$9:$D$314,4,FALSE)*'OPEB Amounts_Report'!$O$326,0)</f>
        <v>-23174</v>
      </c>
      <c r="P300" s="68">
        <f>INDEX('Change in Proportion Layers'!$AD$8:$AD$324,MATCH('OPEB Amounts_Report'!A300,'Change in Proportion Layers'!$A$8:$A$324,0))</f>
        <v>-847</v>
      </c>
      <c r="Q300" s="68">
        <f t="shared" si="23"/>
        <v>-24021</v>
      </c>
    </row>
    <row r="301" spans="1:17" s="161" customFormat="1" ht="12" customHeight="1">
      <c r="A301" s="227">
        <v>32102</v>
      </c>
      <c r="B301" s="228" t="s">
        <v>281</v>
      </c>
      <c r="C301" s="84">
        <f>ROUND(VLOOKUP(A301,'Contribution Allocation_Report'!$A$9:$D$314,4,FALSE)*'OPEB Amounts_Report'!$C$326,0)</f>
        <v>185486</v>
      </c>
      <c r="D301" s="84">
        <f>ROUND(VLOOKUP(A301,'Contribution Allocation_Report'!$A$9:$D$314,4,FALSE)*'OPEB Amounts_Report'!$D$326,0)</f>
        <v>1988</v>
      </c>
      <c r="E301" s="84">
        <f>ROUND(VLOOKUP(A301,'Contribution Allocation_Report'!$A$9:$D$314,4,FALSE)*'OPEB Amounts_Report'!$E$326,0)</f>
        <v>1658</v>
      </c>
      <c r="F301" s="84">
        <f>ROUND(VLOOKUP(A301,'Contribution Allocation_Report'!$A$9:$D$314,4,FALSE)*'OPEB Amounts_Report'!$F$326,0)</f>
        <v>34709</v>
      </c>
      <c r="G301" s="84">
        <f>INDEX('Change in Proportion Layers'!$AF$8:$AF$324,MATCH('OPEB Amounts_Report'!A301,'Change in Proportion Layers'!$A$8:$A$324,0))</f>
        <v>7696</v>
      </c>
      <c r="H301" s="84">
        <f t="shared" si="24"/>
        <v>46051</v>
      </c>
      <c r="I301" s="84"/>
      <c r="J301" s="84">
        <f>ROUND(VLOOKUP(A301,'Contribution Allocation_Report'!$A$9:$D$314,4,FALSE)*'OPEB Amounts_Report'!$J$326,0)</f>
        <v>19375</v>
      </c>
      <c r="K301" s="84">
        <f>ROUND(VLOOKUP(A301,'Contribution Allocation_Report'!$A$9:$D$314,4,FALSE)*'OPEB Amounts_Report'!$K$326,0)</f>
        <v>117623</v>
      </c>
      <c r="L301" s="84">
        <f>INDEX('Change in Proportion Layers'!$AG$8:$AG$324,MATCH('OPEB Amounts_Report'!A301,'Change in Proportion Layers'!$A$8:$A$324,0))</f>
        <v>56397</v>
      </c>
      <c r="M301" s="84">
        <f t="shared" si="22"/>
        <v>193395</v>
      </c>
      <c r="N301" s="85"/>
      <c r="O301" s="85">
        <f>ROUND(VLOOKUP(A301,'Contribution Allocation_Report'!$A$9:$D$314,4,FALSE)*'OPEB Amounts_Report'!$O$326,0)</f>
        <v>-37757</v>
      </c>
      <c r="P301" s="85">
        <f>INDEX('Change in Proportion Layers'!$AD$8:$AD$324,MATCH('OPEB Amounts_Report'!A301,'Change in Proportion Layers'!$A$8:$A$324,0))</f>
        <v>-8600</v>
      </c>
      <c r="Q301" s="85">
        <f t="shared" si="23"/>
        <v>-46357</v>
      </c>
    </row>
    <row r="302" spans="1:17" s="161" customFormat="1" ht="12" customHeight="1">
      <c r="A302" s="59">
        <v>2880</v>
      </c>
      <c r="B302" s="63" t="s">
        <v>282</v>
      </c>
      <c r="C302" s="67">
        <f>ROUND(VLOOKUP(A302,'Contribution Allocation_Report'!$A$9:$D$314,4,FALSE)*'OPEB Amounts_Report'!$C$326,0)</f>
        <v>64225</v>
      </c>
      <c r="D302" s="67">
        <f>ROUND(VLOOKUP(A302,'Contribution Allocation_Report'!$A$9:$D$314,4,FALSE)*'OPEB Amounts_Report'!$D$326,0)</f>
        <v>688</v>
      </c>
      <c r="E302" s="67">
        <f>ROUND(VLOOKUP(A302,'Contribution Allocation_Report'!$A$9:$D$314,4,FALSE)*'OPEB Amounts_Report'!$E$326,0)</f>
        <v>574</v>
      </c>
      <c r="F302" s="67">
        <f>ROUND(VLOOKUP(A302,'Contribution Allocation_Report'!$A$9:$D$314,4,FALSE)*'OPEB Amounts_Report'!$F$326,0)</f>
        <v>12018</v>
      </c>
      <c r="G302" s="67">
        <f>INDEX('Change in Proportion Layers'!$AF$8:$AF$324,MATCH('OPEB Amounts_Report'!A302,'Change in Proportion Layers'!$A$8:$A$324,0))</f>
        <v>11699</v>
      </c>
      <c r="H302" s="67">
        <f t="shared" si="24"/>
        <v>24979</v>
      </c>
      <c r="I302" s="67"/>
      <c r="J302" s="67">
        <f>ROUND(VLOOKUP(A302,'Contribution Allocation_Report'!$A$9:$D$314,4,FALSE)*'OPEB Amounts_Report'!$J$326,0)</f>
        <v>6709</v>
      </c>
      <c r="K302" s="67">
        <f>ROUND(VLOOKUP(A302,'Contribution Allocation_Report'!$A$9:$D$314,4,FALSE)*'OPEB Amounts_Report'!$K$326,0)</f>
        <v>40727</v>
      </c>
      <c r="L302" s="67">
        <f>INDEX('Change in Proportion Layers'!$AG$8:$AG$324,MATCH('OPEB Amounts_Report'!A302,'Change in Proportion Layers'!$A$8:$A$324,0))</f>
        <v>15107</v>
      </c>
      <c r="M302" s="67">
        <f t="shared" si="22"/>
        <v>62543</v>
      </c>
      <c r="N302" s="68"/>
      <c r="O302" s="68">
        <f>ROUND(VLOOKUP(A302,'Contribution Allocation_Report'!$A$9:$D$314,4,FALSE)*'OPEB Amounts_Report'!$O$326,0)</f>
        <v>-13073</v>
      </c>
      <c r="P302" s="68">
        <f>INDEX('Change in Proportion Layers'!$AD$8:$AD$324,MATCH('OPEB Amounts_Report'!A302,'Change in Proportion Layers'!$A$8:$A$324,0))</f>
        <v>-2869</v>
      </c>
      <c r="Q302" s="68">
        <f t="shared" si="23"/>
        <v>-15942</v>
      </c>
    </row>
    <row r="303" spans="1:17" s="161" customFormat="1" ht="12" customHeight="1">
      <c r="A303" s="227">
        <v>2490</v>
      </c>
      <c r="B303" s="228" t="s">
        <v>283</v>
      </c>
      <c r="C303" s="84">
        <f>ROUND(VLOOKUP(A303,'Contribution Allocation_Report'!$A$9:$D$314,4,FALSE)*'OPEB Amounts_Report'!$C$326,0)</f>
        <v>524380</v>
      </c>
      <c r="D303" s="84">
        <f>ROUND(VLOOKUP(A303,'Contribution Allocation_Report'!$A$9:$D$314,4,FALSE)*'OPEB Amounts_Report'!$D$326,0)</f>
        <v>5620</v>
      </c>
      <c r="E303" s="84">
        <f>ROUND(VLOOKUP(A303,'Contribution Allocation_Report'!$A$9:$D$314,4,FALSE)*'OPEB Amounts_Report'!$E$326,0)</f>
        <v>4687</v>
      </c>
      <c r="F303" s="84">
        <f>ROUND(VLOOKUP(A303,'Contribution Allocation_Report'!$A$9:$D$314,4,FALSE)*'OPEB Amounts_Report'!$F$326,0)</f>
        <v>98125</v>
      </c>
      <c r="G303" s="84">
        <f>INDEX('Change in Proportion Layers'!$AF$8:$AF$324,MATCH('OPEB Amounts_Report'!A303,'Change in Proportion Layers'!$A$8:$A$324,0))</f>
        <v>75773</v>
      </c>
      <c r="H303" s="84">
        <f t="shared" si="24"/>
        <v>184205</v>
      </c>
      <c r="I303" s="84"/>
      <c r="J303" s="84">
        <f>ROUND(VLOOKUP(A303,'Contribution Allocation_Report'!$A$9:$D$314,4,FALSE)*'OPEB Amounts_Report'!$J$326,0)</f>
        <v>54774</v>
      </c>
      <c r="K303" s="84">
        <f>ROUND(VLOOKUP(A303,'Contribution Allocation_Report'!$A$9:$D$314,4,FALSE)*'OPEB Amounts_Report'!$K$326,0)</f>
        <v>332529</v>
      </c>
      <c r="L303" s="251">
        <f>INDEX('Change in Proportion Layers'!$AG$8:$AG$324,MATCH('OPEB Amounts_Report'!A303,'Change in Proportion Layers'!$A$8:$A$324,0))</f>
        <v>73888</v>
      </c>
      <c r="M303" s="84">
        <f t="shared" si="22"/>
        <v>461191</v>
      </c>
      <c r="N303" s="85"/>
      <c r="O303" s="85">
        <f>ROUND(VLOOKUP(A303,'Contribution Allocation_Report'!$A$9:$D$314,4,FALSE)*'OPEB Amounts_Report'!$O$326,0)</f>
        <v>-106741</v>
      </c>
      <c r="P303" s="85">
        <f>INDEX('Change in Proportion Layers'!$AD$8:$AD$324,MATCH('OPEB Amounts_Report'!A303,'Change in Proportion Layers'!$A$8:$A$324,0))</f>
        <v>-21025</v>
      </c>
      <c r="Q303" s="85">
        <f t="shared" si="23"/>
        <v>-127766</v>
      </c>
    </row>
    <row r="304" spans="1:17" s="161" customFormat="1" ht="12" customHeight="1">
      <c r="A304" s="59">
        <v>2530</v>
      </c>
      <c r="B304" s="63" t="s">
        <v>284</v>
      </c>
      <c r="C304" s="67">
        <f>ROUND(VLOOKUP(A304,'Contribution Allocation_Report'!$A$9:$D$314,4,FALSE)*'OPEB Amounts_Report'!$C$326,0)</f>
        <v>98895</v>
      </c>
      <c r="D304" s="67">
        <f>ROUND(VLOOKUP(A304,'Contribution Allocation_Report'!$A$9:$D$314,4,FALSE)*'OPEB Amounts_Report'!$D$326,0)</f>
        <v>1060</v>
      </c>
      <c r="E304" s="67">
        <f>ROUND(VLOOKUP(A304,'Contribution Allocation_Report'!$A$9:$D$314,4,FALSE)*'OPEB Amounts_Report'!$E$326,0)</f>
        <v>884</v>
      </c>
      <c r="F304" s="67">
        <f>ROUND(VLOOKUP(A304,'Contribution Allocation_Report'!$A$9:$D$314,4,FALSE)*'OPEB Amounts_Report'!$F$326,0)</f>
        <v>18506</v>
      </c>
      <c r="G304" s="250">
        <f>INDEX('Change in Proportion Layers'!$AF$8:$AF$324,MATCH('OPEB Amounts_Report'!A304,'Change in Proportion Layers'!$A$8:$A$324,0))</f>
        <v>70402</v>
      </c>
      <c r="H304" s="67">
        <f t="shared" si="24"/>
        <v>90852</v>
      </c>
      <c r="I304" s="67"/>
      <c r="J304" s="67">
        <f>ROUND(VLOOKUP(A304,'Contribution Allocation_Report'!$A$9:$D$314,4,FALSE)*'OPEB Amounts_Report'!$J$326,0)</f>
        <v>10330</v>
      </c>
      <c r="K304" s="67">
        <f>ROUND(VLOOKUP(A304,'Contribution Allocation_Report'!$A$9:$D$314,4,FALSE)*'OPEB Amounts_Report'!$K$326,0)</f>
        <v>62713</v>
      </c>
      <c r="L304" s="67">
        <f>INDEX('Change in Proportion Layers'!$AG$8:$AG$324,MATCH('OPEB Amounts_Report'!A304,'Change in Proportion Layers'!$A$8:$A$324,0))</f>
        <v>89402</v>
      </c>
      <c r="M304" s="67">
        <f t="shared" si="22"/>
        <v>162445</v>
      </c>
      <c r="N304" s="68"/>
      <c r="O304" s="68">
        <f>ROUND(VLOOKUP(A304,'Contribution Allocation_Report'!$A$9:$D$314,4,FALSE)*'OPEB Amounts_Report'!$O$326,0)</f>
        <v>-20131</v>
      </c>
      <c r="P304" s="68">
        <f>INDEX('Change in Proportion Layers'!$AD$8:$AD$324,MATCH('OPEB Amounts_Report'!A304,'Change in Proportion Layers'!$A$8:$A$324,0))</f>
        <v>-12916</v>
      </c>
      <c r="Q304" s="68">
        <f t="shared" si="23"/>
        <v>-33047</v>
      </c>
    </row>
    <row r="305" spans="1:17" s="161" customFormat="1" ht="12" customHeight="1">
      <c r="A305" s="227">
        <v>2560</v>
      </c>
      <c r="B305" s="228" t="s">
        <v>285</v>
      </c>
      <c r="C305" s="84">
        <f>ROUND(VLOOKUP(A305,'Contribution Allocation_Report'!$A$9:$D$314,4,FALSE)*'OPEB Amounts_Report'!$C$326,0)</f>
        <v>277822</v>
      </c>
      <c r="D305" s="84">
        <f>ROUND(VLOOKUP(A305,'Contribution Allocation_Report'!$A$9:$D$314,4,FALSE)*'OPEB Amounts_Report'!$D$326,0)</f>
        <v>2977</v>
      </c>
      <c r="E305" s="84">
        <f>ROUND(VLOOKUP(A305,'Contribution Allocation_Report'!$A$9:$D$314,4,FALSE)*'OPEB Amounts_Report'!$E$326,0)</f>
        <v>2483</v>
      </c>
      <c r="F305" s="84">
        <f>ROUND(VLOOKUP(A305,'Contribution Allocation_Report'!$A$9:$D$314,4,FALSE)*'OPEB Amounts_Report'!$F$326,0)</f>
        <v>51988</v>
      </c>
      <c r="G305" s="84">
        <f>INDEX('Change in Proportion Layers'!$AF$8:$AF$324,MATCH('OPEB Amounts_Report'!A305,'Change in Proportion Layers'!$A$8:$A$324,0))</f>
        <v>169106</v>
      </c>
      <c r="H305" s="84">
        <f t="shared" si="24"/>
        <v>226554</v>
      </c>
      <c r="I305" s="84"/>
      <c r="J305" s="84">
        <f>ROUND(VLOOKUP(A305,'Contribution Allocation_Report'!$A$9:$D$314,4,FALSE)*'OPEB Amounts_Report'!$J$326,0)</f>
        <v>29020</v>
      </c>
      <c r="K305" s="84">
        <f>ROUND(VLOOKUP(A305,'Contribution Allocation_Report'!$A$9:$D$314,4,FALSE)*'OPEB Amounts_Report'!$K$326,0)</f>
        <v>176177</v>
      </c>
      <c r="L305" s="251">
        <f>INDEX('Change in Proportion Layers'!$AG$8:$AG$324,MATCH('OPEB Amounts_Report'!A305,'Change in Proportion Layers'!$A$8:$A$324,0))</f>
        <v>42929</v>
      </c>
      <c r="M305" s="84">
        <f t="shared" si="22"/>
        <v>248126</v>
      </c>
      <c r="N305" s="85"/>
      <c r="O305" s="85">
        <f>ROUND(VLOOKUP(A305,'Contribution Allocation_Report'!$A$9:$D$314,4,FALSE)*'OPEB Amounts_Report'!$O$326,0)</f>
        <v>-56553</v>
      </c>
      <c r="P305" s="85">
        <f>INDEX('Change in Proportion Layers'!$AD$8:$AD$324,MATCH('OPEB Amounts_Report'!A305,'Change in Proportion Layers'!$A$8:$A$324,0))</f>
        <v>22719</v>
      </c>
      <c r="Q305" s="85">
        <f t="shared" si="23"/>
        <v>-33834</v>
      </c>
    </row>
    <row r="306" spans="1:17" s="161" customFormat="1" ht="12" customHeight="1">
      <c r="A306" s="59">
        <v>2610</v>
      </c>
      <c r="B306" s="63" t="s">
        <v>286</v>
      </c>
      <c r="C306" s="67">
        <f>ROUND(VLOOKUP(A306,'Contribution Allocation_Report'!$A$9:$D$314,4,FALSE)*'OPEB Amounts_Report'!$C$326,0)</f>
        <v>55452</v>
      </c>
      <c r="D306" s="67">
        <f>ROUND(VLOOKUP(A306,'Contribution Allocation_Report'!$A$9:$D$314,4,FALSE)*'OPEB Amounts_Report'!$D$326,0)</f>
        <v>594</v>
      </c>
      <c r="E306" s="67">
        <f>ROUND(VLOOKUP(A306,'Contribution Allocation_Report'!$A$9:$D$314,4,FALSE)*'OPEB Amounts_Report'!$E$326,0)</f>
        <v>496</v>
      </c>
      <c r="F306" s="67">
        <f>ROUND(VLOOKUP(A306,'Contribution Allocation_Report'!$A$9:$D$314,4,FALSE)*'OPEB Amounts_Report'!$F$326,0)</f>
        <v>10377</v>
      </c>
      <c r="G306" s="250">
        <f>INDEX('Change in Proportion Layers'!$AF$8:$AF$324,MATCH('OPEB Amounts_Report'!A306,'Change in Proportion Layers'!$A$8:$A$324,0))</f>
        <v>8631</v>
      </c>
      <c r="H306" s="67">
        <f t="shared" si="24"/>
        <v>20098</v>
      </c>
      <c r="I306" s="67"/>
      <c r="J306" s="67">
        <f>ROUND(VLOOKUP(A306,'Contribution Allocation_Report'!$A$9:$D$314,4,FALSE)*'OPEB Amounts_Report'!$J$326,0)</f>
        <v>5792</v>
      </c>
      <c r="K306" s="67">
        <f>ROUND(VLOOKUP(A306,'Contribution Allocation_Report'!$A$9:$D$314,4,FALSE)*'OPEB Amounts_Report'!$K$326,0)</f>
        <v>35164</v>
      </c>
      <c r="L306" s="67">
        <f>INDEX('Change in Proportion Layers'!$AG$8:$AG$324,MATCH('OPEB Amounts_Report'!A306,'Change in Proportion Layers'!$A$8:$A$324,0))</f>
        <v>17996</v>
      </c>
      <c r="M306" s="67">
        <f t="shared" si="22"/>
        <v>58952</v>
      </c>
      <c r="N306" s="68"/>
      <c r="O306" s="68">
        <f>ROUND(VLOOKUP(A306,'Contribution Allocation_Report'!$A$9:$D$314,4,FALSE)*'OPEB Amounts_Report'!$O$326,0)</f>
        <v>-11288</v>
      </c>
      <c r="P306" s="68">
        <f>INDEX('Change in Proportion Layers'!$AD$8:$AD$324,MATCH('OPEB Amounts_Report'!A306,'Change in Proportion Layers'!$A$8:$A$324,0))</f>
        <v>-3938</v>
      </c>
      <c r="Q306" s="68">
        <f t="shared" si="23"/>
        <v>-15226</v>
      </c>
    </row>
    <row r="307" spans="1:17" s="161" customFormat="1" ht="12" customHeight="1">
      <c r="A307" s="227">
        <v>2800</v>
      </c>
      <c r="B307" s="228" t="s">
        <v>287</v>
      </c>
      <c r="C307" s="84">
        <f>ROUND(VLOOKUP(A307,'Contribution Allocation_Report'!$A$9:$D$314,4,FALSE)*'OPEB Amounts_Report'!$C$326,0)</f>
        <v>165937</v>
      </c>
      <c r="D307" s="84">
        <f>ROUND(VLOOKUP(A307,'Contribution Allocation_Report'!$A$9:$D$314,4,FALSE)*'OPEB Amounts_Report'!$D$326,0)</f>
        <v>1778</v>
      </c>
      <c r="E307" s="84">
        <f>ROUND(VLOOKUP(A307,'Contribution Allocation_Report'!$A$9:$D$314,4,FALSE)*'OPEB Amounts_Report'!$E$326,0)</f>
        <v>1483</v>
      </c>
      <c r="F307" s="84">
        <f>ROUND(VLOOKUP(A307,'Contribution Allocation_Report'!$A$9:$D$314,4,FALSE)*'OPEB Amounts_Report'!$F$326,0)</f>
        <v>31051</v>
      </c>
      <c r="G307" s="84">
        <f>INDEX('Change in Proportion Layers'!$AF$8:$AF$324,MATCH('OPEB Amounts_Report'!A307,'Change in Proportion Layers'!$A$8:$A$324,0))</f>
        <v>55261</v>
      </c>
      <c r="H307" s="84">
        <f t="shared" si="24"/>
        <v>89573</v>
      </c>
      <c r="I307" s="84"/>
      <c r="J307" s="84">
        <f>ROUND(VLOOKUP(A307,'Contribution Allocation_Report'!$A$9:$D$314,4,FALSE)*'OPEB Amounts_Report'!$J$326,0)</f>
        <v>17333</v>
      </c>
      <c r="K307" s="84">
        <f>ROUND(VLOOKUP(A307,'Contribution Allocation_Report'!$A$9:$D$314,4,FALSE)*'OPEB Amounts_Report'!$K$326,0)</f>
        <v>105227</v>
      </c>
      <c r="L307" s="251">
        <f>INDEX('Change in Proportion Layers'!$AG$8:$AG$324,MATCH('OPEB Amounts_Report'!A307,'Change in Proportion Layers'!$A$8:$A$324,0))</f>
        <v>23798</v>
      </c>
      <c r="M307" s="84">
        <f t="shared" si="22"/>
        <v>146358</v>
      </c>
      <c r="N307" s="85"/>
      <c r="O307" s="85">
        <f>ROUND(VLOOKUP(A307,'Contribution Allocation_Report'!$A$9:$D$314,4,FALSE)*'OPEB Amounts_Report'!$O$326,0)</f>
        <v>-33778</v>
      </c>
      <c r="P307" s="85">
        <f>INDEX('Change in Proportion Layers'!$AD$8:$AD$324,MATCH('OPEB Amounts_Report'!A307,'Change in Proportion Layers'!$A$8:$A$324,0))</f>
        <v>21334</v>
      </c>
      <c r="Q307" s="85">
        <f t="shared" si="23"/>
        <v>-12444</v>
      </c>
    </row>
    <row r="308" spans="1:17" s="190" customFormat="1" ht="12" customHeight="1">
      <c r="A308" s="59">
        <v>20317</v>
      </c>
      <c r="B308" s="63" t="s">
        <v>288</v>
      </c>
      <c r="C308" s="67">
        <f>ROUND(VLOOKUP(A308,'Contribution Allocation_Report'!$A$9:$D$314,4,FALSE)*'OPEB Amounts_Report'!$C$326,0)</f>
        <v>276295</v>
      </c>
      <c r="D308" s="67">
        <f>ROUND(VLOOKUP(A308,'Contribution Allocation_Report'!$A$9:$D$314,4,FALSE)*'OPEB Amounts_Report'!$D$326,0)</f>
        <v>2961</v>
      </c>
      <c r="E308" s="67">
        <f>ROUND(VLOOKUP(A308,'Contribution Allocation_Report'!$A$9:$D$314,4,FALSE)*'OPEB Amounts_Report'!$E$326,0)</f>
        <v>2470</v>
      </c>
      <c r="F308" s="67">
        <f>ROUND(VLOOKUP(A308,'Contribution Allocation_Report'!$A$9:$D$314,4,FALSE)*'OPEB Amounts_Report'!$F$326,0)</f>
        <v>51702</v>
      </c>
      <c r="G308" s="67">
        <f>INDEX('Change in Proportion Layers'!$AF$8:$AF$324,MATCH('OPEB Amounts_Report'!A308,'Change in Proportion Layers'!$A$8:$A$324,0))</f>
        <v>126513</v>
      </c>
      <c r="H308" s="67">
        <f t="shared" si="24"/>
        <v>183646</v>
      </c>
      <c r="I308" s="67"/>
      <c r="J308" s="67">
        <f>ROUND(VLOOKUP(A308,'Contribution Allocation_Report'!$A$9:$D$314,4,FALSE)*'OPEB Amounts_Report'!$J$326,0)</f>
        <v>28860</v>
      </c>
      <c r="K308" s="67">
        <f>ROUND(VLOOKUP(A308,'Contribution Allocation_Report'!$A$9:$D$314,4,FALSE)*'OPEB Amounts_Report'!$K$326,0)</f>
        <v>175209</v>
      </c>
      <c r="L308" s="67">
        <f>INDEX('Change in Proportion Layers'!$AG$8:$AG$324,MATCH('OPEB Amounts_Report'!A308,'Change in Proportion Layers'!$A$8:$A$324,0))</f>
        <v>158017</v>
      </c>
      <c r="M308" s="67">
        <f t="shared" si="22"/>
        <v>362086</v>
      </c>
      <c r="N308" s="68"/>
      <c r="O308" s="68">
        <f>ROUND(VLOOKUP(A308,'Contribution Allocation_Report'!$A$9:$D$314,4,FALSE)*'OPEB Amounts_Report'!$O$326,0)</f>
        <v>-56242</v>
      </c>
      <c r="P308" s="68">
        <f>INDEX('Change in Proportion Layers'!$AD$8:$AD$324,MATCH('OPEB Amounts_Report'!A308,'Change in Proportion Layers'!$A$8:$A$324,0))</f>
        <v>11316</v>
      </c>
      <c r="Q308" s="68">
        <f t="shared" si="23"/>
        <v>-44926</v>
      </c>
    </row>
    <row r="309" spans="1:17" s="161" customFormat="1" ht="12" customHeight="1">
      <c r="A309" s="227">
        <v>2442</v>
      </c>
      <c r="B309" s="228" t="s">
        <v>426</v>
      </c>
      <c r="C309" s="84">
        <f>ROUND(VLOOKUP(A309,'Contribution Allocation_Report'!$A$9:$D$314,4,FALSE)*'OPEB Amounts_Report'!$C$326,0)</f>
        <v>256788</v>
      </c>
      <c r="D309" s="84">
        <f>ROUND(VLOOKUP(A309,'Contribution Allocation_Report'!$A$9:$D$314,4,FALSE)*'OPEB Amounts_Report'!$D$326,0)</f>
        <v>2752</v>
      </c>
      <c r="E309" s="84">
        <f>ROUND(VLOOKUP(A309,'Contribution Allocation_Report'!$A$9:$D$314,4,FALSE)*'OPEB Amounts_Report'!$E$326,0)</f>
        <v>2295</v>
      </c>
      <c r="F309" s="84">
        <f>ROUND(VLOOKUP(A309,'Contribution Allocation_Report'!$A$9:$D$314,4,FALSE)*'OPEB Amounts_Report'!$F$326,0)</f>
        <v>48051</v>
      </c>
      <c r="G309" s="84">
        <f>INDEX('Change in Proportion Layers'!$AF$8:$AF$324,MATCH('OPEB Amounts_Report'!A309,'Change in Proportion Layers'!$A$8:$A$324,0))</f>
        <v>340332</v>
      </c>
      <c r="H309" s="84">
        <f t="shared" si="24"/>
        <v>393430</v>
      </c>
      <c r="I309" s="84"/>
      <c r="J309" s="84">
        <f>ROUND(VLOOKUP(A309,'Contribution Allocation_Report'!$A$9:$D$314,4,FALSE)*'OPEB Amounts_Report'!$J$326,0)</f>
        <v>26823</v>
      </c>
      <c r="K309" s="84">
        <f>ROUND(VLOOKUP(A309,'Contribution Allocation_Report'!$A$9:$D$314,4,FALSE)*'OPEB Amounts_Report'!$K$326,0)</f>
        <v>162839</v>
      </c>
      <c r="L309" s="84">
        <f>INDEX('Change in Proportion Layers'!$AG$8:$AG$324,MATCH('OPEB Amounts_Report'!A309,'Change in Proportion Layers'!$A$8:$A$324,0))</f>
        <v>0</v>
      </c>
      <c r="M309" s="84">
        <f t="shared" si="22"/>
        <v>189662</v>
      </c>
      <c r="N309" s="85"/>
      <c r="O309" s="85">
        <f>ROUND(VLOOKUP(A309,'Contribution Allocation_Report'!$A$9:$D$314,4,FALSE)*'OPEB Amounts_Report'!$O$326,0)</f>
        <v>-52271</v>
      </c>
      <c r="P309" s="85">
        <f>INDEX('Change in Proportion Layers'!$AD$8:$AD$324,MATCH('OPEB Amounts_Report'!A309,'Change in Proportion Layers'!$A$8:$A$324,0))</f>
        <v>94435</v>
      </c>
      <c r="Q309" s="85">
        <f t="shared" si="23"/>
        <v>42164</v>
      </c>
    </row>
    <row r="310" spans="1:17" ht="12" customHeight="1">
      <c r="A310" s="59">
        <v>30090</v>
      </c>
      <c r="B310" s="63" t="s">
        <v>289</v>
      </c>
      <c r="C310" s="67">
        <f>ROUND(VLOOKUP(A310,'Contribution Allocation_Report'!$A$9:$D$314,4,FALSE)*'OPEB Amounts_Report'!$C$326,0)</f>
        <v>498777</v>
      </c>
      <c r="D310" s="67">
        <f>ROUND(VLOOKUP(A310,'Contribution Allocation_Report'!$A$9:$D$314,4,FALSE)*'OPEB Amounts_Report'!$D$326,0)</f>
        <v>5345</v>
      </c>
      <c r="E310" s="67">
        <f>ROUND(VLOOKUP(A310,'Contribution Allocation_Report'!$A$9:$D$314,4,FALSE)*'OPEB Amounts_Report'!$E$326,0)</f>
        <v>4459</v>
      </c>
      <c r="F310" s="67">
        <f>ROUND(VLOOKUP(A310,'Contribution Allocation_Report'!$A$9:$D$314,4,FALSE)*'OPEB Amounts_Report'!$F$326,0)</f>
        <v>93334</v>
      </c>
      <c r="G310" s="67">
        <f>INDEX('Change in Proportion Layers'!$AF$8:$AF$324,MATCH('OPEB Amounts_Report'!A310,'Change in Proportion Layers'!$A$8:$A$324,0))</f>
        <v>138596</v>
      </c>
      <c r="H310" s="67">
        <f t="shared" si="24"/>
        <v>241734</v>
      </c>
      <c r="I310" s="67"/>
      <c r="J310" s="67">
        <f>ROUND(VLOOKUP(A310,'Contribution Allocation_Report'!$A$9:$D$314,4,FALSE)*'OPEB Amounts_Report'!$J$326,0)</f>
        <v>52099</v>
      </c>
      <c r="K310" s="67">
        <f>ROUND(VLOOKUP(A310,'Contribution Allocation_Report'!$A$9:$D$314,4,FALSE)*'OPEB Amounts_Report'!$K$326,0)</f>
        <v>316293</v>
      </c>
      <c r="L310" s="250">
        <f>INDEX('Change in Proportion Layers'!$AG$8:$AG$324,MATCH('OPEB Amounts_Report'!A310,'Change in Proportion Layers'!$A$8:$A$324,0))</f>
        <v>150509</v>
      </c>
      <c r="M310" s="67">
        <f t="shared" si="22"/>
        <v>518901</v>
      </c>
      <c r="N310" s="68"/>
      <c r="O310" s="68">
        <f>ROUND(VLOOKUP(A310,'Contribution Allocation_Report'!$A$9:$D$314,4,FALSE)*'OPEB Amounts_Report'!$O$326,0)</f>
        <v>-101529</v>
      </c>
      <c r="P310" s="68">
        <f>INDEX('Change in Proportion Layers'!$AD$8:$AD$324,MATCH('OPEB Amounts_Report'!A310,'Change in Proportion Layers'!$A$8:$A$324,0))</f>
        <v>1710</v>
      </c>
      <c r="Q310" s="68">
        <f t="shared" si="23"/>
        <v>-99819</v>
      </c>
    </row>
    <row r="311" spans="1:17" ht="12" customHeight="1">
      <c r="A311" s="227">
        <v>29330</v>
      </c>
      <c r="B311" s="228" t="s">
        <v>290</v>
      </c>
      <c r="C311" s="84">
        <f>ROUND(VLOOKUP(A311,'Contribution Allocation_Report'!$A$9:$D$314,4,FALSE)*'OPEB Amounts_Report'!$C$326,0)</f>
        <v>249725</v>
      </c>
      <c r="D311" s="84">
        <f>ROUND(VLOOKUP(A311,'Contribution Allocation_Report'!$A$9:$D$314,4,FALSE)*'OPEB Amounts_Report'!$D$326,0)</f>
        <v>2676</v>
      </c>
      <c r="E311" s="84">
        <f>ROUND(VLOOKUP(A311,'Contribution Allocation_Report'!$A$9:$D$314,4,FALSE)*'OPEB Amounts_Report'!$E$326,0)</f>
        <v>2232</v>
      </c>
      <c r="F311" s="84">
        <f>ROUND(VLOOKUP(A311,'Contribution Allocation_Report'!$A$9:$D$314,4,FALSE)*'OPEB Amounts_Report'!$F$326,0)</f>
        <v>46730</v>
      </c>
      <c r="G311" s="84">
        <f>INDEX('Change in Proportion Layers'!$AF$8:$AF$324,MATCH('OPEB Amounts_Report'!A311,'Change in Proportion Layers'!$A$8:$A$324,0))</f>
        <v>64624</v>
      </c>
      <c r="H311" s="84">
        <f t="shared" si="24"/>
        <v>116262</v>
      </c>
      <c r="I311" s="84"/>
      <c r="J311" s="84">
        <f>ROUND(VLOOKUP(A311,'Contribution Allocation_Report'!$A$9:$D$314,4,FALSE)*'OPEB Amounts_Report'!$J$326,0)</f>
        <v>26085</v>
      </c>
      <c r="K311" s="84">
        <f>ROUND(VLOOKUP(A311,'Contribution Allocation_Report'!$A$9:$D$314,4,FALSE)*'OPEB Amounts_Report'!$K$326,0)</f>
        <v>158360</v>
      </c>
      <c r="L311" s="84">
        <f>INDEX('Change in Proportion Layers'!$AG$8:$AG$324,MATCH('OPEB Amounts_Report'!A311,'Change in Proportion Layers'!$A$8:$A$324,0))</f>
        <v>20999</v>
      </c>
      <c r="M311" s="84">
        <f t="shared" si="22"/>
        <v>205444</v>
      </c>
      <c r="N311" s="85"/>
      <c r="O311" s="85">
        <f>ROUND(VLOOKUP(A311,'Contribution Allocation_Report'!$A$9:$D$314,4,FALSE)*'OPEB Amounts_Report'!$O$326,0)</f>
        <v>-50833</v>
      </c>
      <c r="P311" s="85">
        <f>INDEX('Change in Proportion Layers'!$AD$8:$AD$324,MATCH('OPEB Amounts_Report'!A311,'Change in Proportion Layers'!$A$8:$A$324,0))</f>
        <v>8270</v>
      </c>
      <c r="Q311" s="85">
        <f t="shared" si="23"/>
        <v>-42563</v>
      </c>
    </row>
    <row r="312" spans="1:17" ht="12" customHeight="1">
      <c r="A312" s="59">
        <v>12038</v>
      </c>
      <c r="B312" s="63" t="s">
        <v>291</v>
      </c>
      <c r="C312" s="67">
        <f>ROUND(VLOOKUP(A312,'Contribution Allocation_Report'!$A$9:$D$314,4,FALSE)*'OPEB Amounts_Report'!$C$326,0)</f>
        <v>4225129</v>
      </c>
      <c r="D312" s="67">
        <f>ROUND(VLOOKUP(A312,'Contribution Allocation_Report'!$A$9:$D$314,4,FALSE)*'OPEB Amounts_Report'!$D$326,0)</f>
        <v>45281</v>
      </c>
      <c r="E312" s="67">
        <f>ROUND(VLOOKUP(A312,'Contribution Allocation_Report'!$A$9:$D$314,4,FALSE)*'OPEB Amounts_Report'!$E$326,0)</f>
        <v>37769</v>
      </c>
      <c r="F312" s="67">
        <f>ROUND(VLOOKUP(A312,'Contribution Allocation_Report'!$A$9:$D$314,4,FALSE)*'OPEB Amounts_Report'!$F$326,0)</f>
        <v>790627</v>
      </c>
      <c r="G312" s="67">
        <f>INDEX('Change in Proportion Layers'!$AF$8:$AF$324,MATCH('OPEB Amounts_Report'!A312,'Change in Proportion Layers'!$A$8:$A$324,0))</f>
        <v>390968</v>
      </c>
      <c r="H312" s="67">
        <f t="shared" si="24"/>
        <v>1264645</v>
      </c>
      <c r="I312" s="67"/>
      <c r="J312" s="67">
        <f>ROUND(VLOOKUP(A312,'Contribution Allocation_Report'!$A$9:$D$314,4,FALSE)*'OPEB Amounts_Report'!$J$326,0)</f>
        <v>441333</v>
      </c>
      <c r="K312" s="67">
        <f>ROUND(VLOOKUP(A312,'Contribution Allocation_Report'!$A$9:$D$314,4,FALSE)*'OPEB Amounts_Report'!$K$326,0)</f>
        <v>2679310</v>
      </c>
      <c r="L312" s="67">
        <f>INDEX('Change in Proportion Layers'!$AG$8:$AG$324,MATCH('OPEB Amounts_Report'!A312,'Change in Proportion Layers'!$A$8:$A$324,0))</f>
        <v>376091</v>
      </c>
      <c r="M312" s="67">
        <f t="shared" si="22"/>
        <v>3496734</v>
      </c>
      <c r="N312" s="68"/>
      <c r="O312" s="68">
        <f>ROUND(VLOOKUP(A312,'Contribution Allocation_Report'!$A$9:$D$314,4,FALSE)*'OPEB Amounts_Report'!$O$326,0)</f>
        <v>-860053</v>
      </c>
      <c r="P312" s="68">
        <f>INDEX('Change in Proportion Layers'!$AD$8:$AD$324,MATCH('OPEB Amounts_Report'!A312,'Change in Proportion Layers'!$A$8:$A$324,0))</f>
        <v>195752</v>
      </c>
      <c r="Q312" s="68">
        <f t="shared" si="23"/>
        <v>-664301</v>
      </c>
    </row>
    <row r="313" spans="1:17" ht="12" customHeight="1">
      <c r="A313" s="227">
        <v>8099</v>
      </c>
      <c r="B313" s="228" t="s">
        <v>292</v>
      </c>
      <c r="C313" s="84">
        <f>ROUND(VLOOKUP(A313,'Contribution Allocation_Report'!$A$9:$D$314,4,FALSE)*'OPEB Amounts_Report'!$C$326,0)</f>
        <v>7526906</v>
      </c>
      <c r="D313" s="84">
        <f>ROUND(VLOOKUP(A313,'Contribution Allocation_Report'!$A$9:$D$314,4,FALSE)*'OPEB Amounts_Report'!$D$326,0)</f>
        <v>80666</v>
      </c>
      <c r="E313" s="84">
        <f>ROUND(VLOOKUP(A313,'Contribution Allocation_Report'!$A$9:$D$314,4,FALSE)*'OPEB Amounts_Report'!$E$326,0)</f>
        <v>67283</v>
      </c>
      <c r="F313" s="84">
        <f>ROUND(VLOOKUP(A313,'Contribution Allocation_Report'!$A$9:$D$314,4,FALSE)*'OPEB Amounts_Report'!$F$326,0)</f>
        <v>1408473</v>
      </c>
      <c r="G313" s="84">
        <f>INDEX('Change in Proportion Layers'!$AF$8:$AF$324,MATCH('OPEB Amounts_Report'!A313,'Change in Proportion Layers'!$A$8:$A$324,0))</f>
        <v>808581</v>
      </c>
      <c r="H313" s="84">
        <f t="shared" si="24"/>
        <v>2365003</v>
      </c>
      <c r="I313" s="84"/>
      <c r="J313" s="84">
        <f>ROUND(VLOOKUP(A313,'Contribution Allocation_Report'!$A$9:$D$314,4,FALSE)*'OPEB Amounts_Report'!$J$326,0)</f>
        <v>786218</v>
      </c>
      <c r="K313" s="84">
        <f>ROUND(VLOOKUP(A313,'Contribution Allocation_Report'!$A$9:$D$314,4,FALSE)*'OPEB Amounts_Report'!$K$326,0)</f>
        <v>4773089</v>
      </c>
      <c r="L313" s="84">
        <f>INDEX('Change in Proportion Layers'!$AG$8:$AG$324,MATCH('OPEB Amounts_Report'!A313,'Change in Proportion Layers'!$A$8:$A$324,0))</f>
        <v>175601</v>
      </c>
      <c r="M313" s="84">
        <f t="shared" si="22"/>
        <v>5734908</v>
      </c>
      <c r="N313" s="85"/>
      <c r="O313" s="85">
        <f>ROUND(VLOOKUP(A313,'Contribution Allocation_Report'!$A$9:$D$314,4,FALSE)*'OPEB Amounts_Report'!$O$326,0)</f>
        <v>-1532152</v>
      </c>
      <c r="P313" s="85">
        <f>INDEX('Change in Proportion Layers'!$AD$8:$AD$324,MATCH('OPEB Amounts_Report'!A313,'Change in Proportion Layers'!$A$8:$A$324,0))</f>
        <v>82906</v>
      </c>
      <c r="Q313" s="85">
        <f t="shared" si="23"/>
        <v>-1449246</v>
      </c>
    </row>
    <row r="314" spans="1:17" ht="12" customHeight="1">
      <c r="A314" s="59">
        <v>2417</v>
      </c>
      <c r="B314" s="63" t="s">
        <v>293</v>
      </c>
      <c r="C314" s="67">
        <f>ROUND(VLOOKUP(A314,'Contribution Allocation_Report'!$A$9:$D$314,4,FALSE)*'OPEB Amounts_Report'!$C$326,0)</f>
        <v>146850</v>
      </c>
      <c r="D314" s="67">
        <f>ROUND(VLOOKUP(A314,'Contribution Allocation_Report'!$A$9:$D$314,4,FALSE)*'OPEB Amounts_Report'!$D$326,0)</f>
        <v>1574</v>
      </c>
      <c r="E314" s="67">
        <f>ROUND(VLOOKUP(A314,'Contribution Allocation_Report'!$A$9:$D$314,4,FALSE)*'OPEB Amounts_Report'!$E$326,0)</f>
        <v>1313</v>
      </c>
      <c r="F314" s="67">
        <f>ROUND(VLOOKUP(A314,'Contribution Allocation_Report'!$A$9:$D$314,4,FALSE)*'OPEB Amounts_Report'!$F$326,0)</f>
        <v>27479</v>
      </c>
      <c r="G314" s="67">
        <f>INDEX('Change in Proportion Layers'!$AF$8:$AF$324,MATCH('OPEB Amounts_Report'!A314,'Change in Proportion Layers'!$A$8:$A$324,0))</f>
        <v>18713</v>
      </c>
      <c r="H314" s="67">
        <f t="shared" si="24"/>
        <v>49079</v>
      </c>
      <c r="I314" s="67"/>
      <c r="J314" s="67">
        <f>ROUND(VLOOKUP(A314,'Contribution Allocation_Report'!$A$9:$D$314,4,FALSE)*'OPEB Amounts_Report'!$J$326,0)</f>
        <v>15339</v>
      </c>
      <c r="K314" s="67">
        <f>ROUND(VLOOKUP(A314,'Contribution Allocation_Report'!$A$9:$D$314,4,FALSE)*'OPEB Amounts_Report'!$K$326,0)</f>
        <v>93123</v>
      </c>
      <c r="L314" s="250">
        <f>INDEX('Change in Proportion Layers'!$AG$8:$AG$324,MATCH('OPEB Amounts_Report'!A314,'Change in Proportion Layers'!$A$8:$A$324,0))</f>
        <v>15458</v>
      </c>
      <c r="M314" s="67">
        <f t="shared" si="22"/>
        <v>123920</v>
      </c>
      <c r="N314" s="68"/>
      <c r="O314" s="68">
        <f>ROUND(VLOOKUP(A314,'Contribution Allocation_Report'!$A$9:$D$314,4,FALSE)*'OPEB Amounts_Report'!$O$326,0)</f>
        <v>-29892</v>
      </c>
      <c r="P314" s="68">
        <f>INDEX('Change in Proportion Layers'!$AD$8:$AD$324,MATCH('OPEB Amounts_Report'!A314,'Change in Proportion Layers'!$A$8:$A$324,0))</f>
        <v>8383</v>
      </c>
      <c r="Q314" s="68">
        <f t="shared" si="23"/>
        <v>-21509</v>
      </c>
    </row>
    <row r="315" spans="1:17" s="190" customFormat="1" ht="12" customHeight="1">
      <c r="A315" s="227">
        <v>13142</v>
      </c>
      <c r="B315" s="228" t="s">
        <v>294</v>
      </c>
      <c r="C315" s="84">
        <f>ROUND(VLOOKUP(A315,'Contribution Allocation_Report'!$A$9:$D$314,4,FALSE)*'OPEB Amounts_Report'!$C$326,0)</f>
        <v>4602813</v>
      </c>
      <c r="D315" s="84">
        <f>ROUND(VLOOKUP(A315,'Contribution Allocation_Report'!$A$9:$D$314,4,FALSE)*'OPEB Amounts_Report'!$D$326,0)</f>
        <v>49329</v>
      </c>
      <c r="E315" s="84">
        <f>ROUND(VLOOKUP(A315,'Contribution Allocation_Report'!$A$9:$D$314,4,FALSE)*'OPEB Amounts_Report'!$E$326,0)</f>
        <v>41145</v>
      </c>
      <c r="F315" s="84">
        <f>ROUND(VLOOKUP(A315,'Contribution Allocation_Report'!$A$9:$D$314,4,FALSE)*'OPEB Amounts_Report'!$F$326,0)</f>
        <v>861302</v>
      </c>
      <c r="G315" s="84">
        <f>INDEX('Change in Proportion Layers'!$AF$8:$AF$324,MATCH('OPEB Amounts_Report'!A315,'Change in Proportion Layers'!$A$8:$A$324,0))</f>
        <v>642470</v>
      </c>
      <c r="H315" s="84">
        <f t="shared" si="24"/>
        <v>1594246</v>
      </c>
      <c r="I315" s="84"/>
      <c r="J315" s="84">
        <f>ROUND(VLOOKUP(A315,'Contribution Allocation_Report'!$A$9:$D$314,4,FALSE)*'OPEB Amounts_Report'!$J$326,0)</f>
        <v>480784</v>
      </c>
      <c r="K315" s="84">
        <f>ROUND(VLOOKUP(A315,'Contribution Allocation_Report'!$A$9:$D$314,4,FALSE)*'OPEB Amounts_Report'!$K$326,0)</f>
        <v>2918814</v>
      </c>
      <c r="L315" s="84">
        <f>INDEX('Change in Proportion Layers'!$AG$8:$AG$324,MATCH('OPEB Amounts_Report'!A315,'Change in Proportion Layers'!$A$8:$A$324,0))</f>
        <v>195570</v>
      </c>
      <c r="M315" s="84">
        <f t="shared" si="22"/>
        <v>3595168</v>
      </c>
      <c r="N315" s="85"/>
      <c r="O315" s="85">
        <f>ROUND(VLOOKUP(A315,'Contribution Allocation_Report'!$A$9:$D$314,4,FALSE)*'OPEB Amounts_Report'!$O$326,0)</f>
        <v>-936933</v>
      </c>
      <c r="P315" s="85">
        <f>INDEX('Change in Proportion Layers'!$AD$8:$AD$324,MATCH('OPEB Amounts_Report'!A315,'Change in Proportion Layers'!$A$8:$A$324,0))</f>
        <v>191468</v>
      </c>
      <c r="Q315" s="85">
        <f t="shared" si="23"/>
        <v>-745465</v>
      </c>
    </row>
    <row r="316" spans="1:17" s="190" customFormat="1" ht="12" customHeight="1">
      <c r="A316" s="59">
        <v>17425</v>
      </c>
      <c r="B316" s="63" t="s">
        <v>491</v>
      </c>
      <c r="C316" s="67">
        <v>0</v>
      </c>
      <c r="D316" s="67">
        <v>0</v>
      </c>
      <c r="E316" s="67">
        <v>0</v>
      </c>
      <c r="F316" s="67">
        <v>0</v>
      </c>
      <c r="G316" s="67">
        <f>INDEX('Change in Proportion Layers'!$AF$8:$AF$324,MATCH('OPEB Amounts_Report'!A316,'Change in Proportion Layers'!$A$8:$A$324,0))</f>
        <v>142511</v>
      </c>
      <c r="H316" s="67">
        <f>SUM(D316:G316)</f>
        <v>142511</v>
      </c>
      <c r="I316" s="67"/>
      <c r="J316" s="67">
        <v>0</v>
      </c>
      <c r="K316" s="67">
        <v>0</v>
      </c>
      <c r="L316" s="250">
        <f>INDEX('Change in Proportion Layers'!$AG$8:$AG$324,MATCH('OPEB Amounts_Report'!A316,'Change in Proportion Layers'!$A$8:$A$324,0))</f>
        <v>385088</v>
      </c>
      <c r="M316" s="67">
        <f>SUM(J316:L316)</f>
        <v>385088</v>
      </c>
      <c r="N316" s="68"/>
      <c r="O316" s="68">
        <v>0</v>
      </c>
      <c r="P316" s="68">
        <f>INDEX('Change in Proportion Layers'!$AD$8:$AD$324,MATCH('OPEB Amounts_Report'!A316,'Change in Proportion Layers'!$A$8:$A$324,0))</f>
        <v>-72089</v>
      </c>
      <c r="Q316" s="68">
        <f>+O316+P316</f>
        <v>-72089</v>
      </c>
    </row>
    <row r="317" spans="1:17" s="190" customFormat="1" ht="12" customHeight="1">
      <c r="A317" s="227">
        <v>4170</v>
      </c>
      <c r="B317" s="228" t="s">
        <v>503</v>
      </c>
      <c r="C317" s="84">
        <v>0</v>
      </c>
      <c r="D317" s="84">
        <v>0</v>
      </c>
      <c r="E317" s="84">
        <v>0</v>
      </c>
      <c r="F317" s="84">
        <v>0</v>
      </c>
      <c r="G317" s="84">
        <f>INDEX('Change in Proportion Layers'!$AF$8:$AF$324,MATCH('OPEB Amounts_Report'!A317,'Change in Proportion Layers'!$A$8:$A$324,0))</f>
        <v>0</v>
      </c>
      <c r="H317" s="84">
        <f t="shared" si="24"/>
        <v>0</v>
      </c>
      <c r="I317" s="84"/>
      <c r="J317" s="84">
        <v>0</v>
      </c>
      <c r="K317" s="84">
        <v>0</v>
      </c>
      <c r="L317" s="84">
        <f>INDEX('Change in Proportion Layers'!$AG$8:$AG$324,MATCH('OPEB Amounts_Report'!A317,'Change in Proportion Layers'!$A$8:$A$324,0))</f>
        <v>133144</v>
      </c>
      <c r="M317" s="84">
        <f t="shared" si="22"/>
        <v>133144</v>
      </c>
      <c r="N317" s="85"/>
      <c r="O317" s="85">
        <v>0</v>
      </c>
      <c r="P317" s="85">
        <f>INDEX('Change in Proportion Layers'!$AD$8:$AD$324,MATCH('OPEB Amounts_Report'!A317,'Change in Proportion Layers'!$A$8:$A$324,0))</f>
        <v>-52699</v>
      </c>
      <c r="Q317" s="85">
        <f t="shared" si="23"/>
        <v>-52699</v>
      </c>
    </row>
    <row r="318" spans="1:17" s="190" customFormat="1" ht="12" customHeight="1">
      <c r="A318" s="59">
        <v>17334</v>
      </c>
      <c r="B318" s="63" t="s">
        <v>502</v>
      </c>
      <c r="C318" s="67">
        <v>0</v>
      </c>
      <c r="D318" s="67">
        <v>0</v>
      </c>
      <c r="E318" s="67">
        <v>0</v>
      </c>
      <c r="F318" s="67">
        <v>0</v>
      </c>
      <c r="G318" s="67">
        <f>INDEX('Change in Proportion Layers'!$AF$8:$AF$324,MATCH('OPEB Amounts_Report'!A318,'Change in Proportion Layers'!$A$8:$A$324,0))</f>
        <v>0</v>
      </c>
      <c r="H318" s="67">
        <f t="shared" si="24"/>
        <v>0</v>
      </c>
      <c r="I318" s="67"/>
      <c r="J318" s="67">
        <v>0</v>
      </c>
      <c r="K318" s="67">
        <v>0</v>
      </c>
      <c r="L318" s="250">
        <f>INDEX('Change in Proportion Layers'!$AG$8:$AG$324,MATCH('OPEB Amounts_Report'!A318,'Change in Proportion Layers'!$A$8:$A$324,0))</f>
        <v>44883</v>
      </c>
      <c r="M318" s="67">
        <f t="shared" si="22"/>
        <v>44883</v>
      </c>
      <c r="N318" s="68"/>
      <c r="O318" s="68">
        <v>0</v>
      </c>
      <c r="P318" s="68">
        <f>INDEX('Change in Proportion Layers'!$AD$8:$AD$324,MATCH('OPEB Amounts_Report'!A318,'Change in Proportion Layers'!$A$8:$A$324,0))</f>
        <v>-31901</v>
      </c>
      <c r="Q318" s="68">
        <f t="shared" si="23"/>
        <v>-31901</v>
      </c>
    </row>
    <row r="319" spans="1:17" s="161" customFormat="1" ht="12" customHeight="1">
      <c r="A319" s="227">
        <v>2403</v>
      </c>
      <c r="B319" s="228" t="s">
        <v>501</v>
      </c>
      <c r="C319" s="84">
        <v>0</v>
      </c>
      <c r="D319" s="84">
        <v>0</v>
      </c>
      <c r="E319" s="84">
        <v>0</v>
      </c>
      <c r="F319" s="84">
        <v>0</v>
      </c>
      <c r="G319" s="84">
        <f>INDEX('Change in Proportion Layers'!$AF$8:$AF$324,MATCH('OPEB Amounts_Report'!A319,'Change in Proportion Layers'!$A$8:$A$324,0))</f>
        <v>0</v>
      </c>
      <c r="H319" s="84">
        <f t="shared" si="24"/>
        <v>0</v>
      </c>
      <c r="I319" s="84"/>
      <c r="J319" s="84">
        <v>0</v>
      </c>
      <c r="K319" s="84">
        <v>0</v>
      </c>
      <c r="L319" s="84">
        <f>INDEX('Change in Proportion Layers'!$AG$8:$AG$324,MATCH('OPEB Amounts_Report'!A319,'Change in Proportion Layers'!$A$8:$A$324,0))</f>
        <v>0</v>
      </c>
      <c r="M319" s="84">
        <f t="shared" si="22"/>
        <v>0</v>
      </c>
      <c r="N319" s="85"/>
      <c r="O319" s="85">
        <v>0</v>
      </c>
      <c r="P319" s="85">
        <f>INDEX('Change in Proportion Layers'!$AD$8:$AD$324,MATCH('OPEB Amounts_Report'!A319,'Change in Proportion Layers'!$A$8:$A$324,0))</f>
        <v>-47002</v>
      </c>
      <c r="Q319" s="85">
        <f t="shared" si="23"/>
        <v>-47002</v>
      </c>
    </row>
    <row r="320" spans="1:17" s="161" customFormat="1" ht="12" customHeight="1">
      <c r="A320" s="59">
        <v>16358</v>
      </c>
      <c r="B320" s="63" t="s">
        <v>500</v>
      </c>
      <c r="C320" s="67">
        <v>0</v>
      </c>
      <c r="D320" s="67">
        <v>0</v>
      </c>
      <c r="E320" s="67">
        <v>0</v>
      </c>
      <c r="F320" s="67">
        <v>0</v>
      </c>
      <c r="G320" s="67">
        <f>INDEX('Change in Proportion Layers'!$AF$8:$AF$324,MATCH('OPEB Amounts_Report'!A320,'Change in Proportion Layers'!$A$8:$A$324,0))</f>
        <v>0</v>
      </c>
      <c r="H320" s="67">
        <f t="shared" si="24"/>
        <v>0</v>
      </c>
      <c r="I320" s="67"/>
      <c r="J320" s="67">
        <v>0</v>
      </c>
      <c r="K320" s="67">
        <v>0</v>
      </c>
      <c r="L320" s="67">
        <f>INDEX('Change in Proportion Layers'!$AG$8:$AG$324,MATCH('OPEB Amounts_Report'!A320,'Change in Proportion Layers'!$A$8:$A$324,0))</f>
        <v>0</v>
      </c>
      <c r="M320" s="67">
        <f t="shared" si="22"/>
        <v>0</v>
      </c>
      <c r="N320" s="68"/>
      <c r="O320" s="68">
        <v>0</v>
      </c>
      <c r="P320" s="68">
        <f>INDEX('Change in Proportion Layers'!$AD$8:$AD$324,MATCH('OPEB Amounts_Report'!A320,'Change in Proportion Layers'!$A$8:$A$324,0))</f>
        <v>-121078</v>
      </c>
      <c r="Q320" s="68">
        <f t="shared" si="23"/>
        <v>-121078</v>
      </c>
    </row>
    <row r="321" spans="1:17" s="161" customFormat="1" ht="12" customHeight="1">
      <c r="A321" s="227">
        <v>2357</v>
      </c>
      <c r="B321" s="228" t="s">
        <v>499</v>
      </c>
      <c r="C321" s="84">
        <v>0</v>
      </c>
      <c r="D321" s="84">
        <v>0</v>
      </c>
      <c r="E321" s="84">
        <v>0</v>
      </c>
      <c r="F321" s="84">
        <v>0</v>
      </c>
      <c r="G321" s="84">
        <f>INDEX('Change in Proportion Layers'!$AF$8:$AF$324,MATCH('OPEB Amounts_Report'!A321,'Change in Proportion Layers'!$A$8:$A$324,0))</f>
        <v>0</v>
      </c>
      <c r="H321" s="84">
        <f t="shared" si="24"/>
        <v>0</v>
      </c>
      <c r="I321" s="84"/>
      <c r="J321" s="84">
        <v>0</v>
      </c>
      <c r="K321" s="84">
        <v>0</v>
      </c>
      <c r="L321" s="84">
        <f>INDEX('Change in Proportion Layers'!$AG$8:$AG$324,MATCH('OPEB Amounts_Report'!A321,'Change in Proportion Layers'!$A$8:$A$324,0))</f>
        <v>0</v>
      </c>
      <c r="M321" s="84">
        <f t="shared" si="22"/>
        <v>0</v>
      </c>
      <c r="N321" s="85"/>
      <c r="O321" s="85">
        <v>0</v>
      </c>
      <c r="P321" s="85">
        <f>INDEX('Change in Proportion Layers'!$AD$8:$AD$324,MATCH('OPEB Amounts_Report'!A321,'Change in Proportion Layers'!$A$8:$A$324,0))</f>
        <v>-56440</v>
      </c>
      <c r="Q321" s="85">
        <f t="shared" si="23"/>
        <v>-56440</v>
      </c>
    </row>
    <row r="322" spans="1:17" s="161" customFormat="1" ht="12" customHeight="1">
      <c r="A322" s="59">
        <v>16357</v>
      </c>
      <c r="B322" s="63" t="s">
        <v>498</v>
      </c>
      <c r="C322" s="67">
        <v>0</v>
      </c>
      <c r="D322" s="67">
        <v>0</v>
      </c>
      <c r="E322" s="67">
        <v>0</v>
      </c>
      <c r="F322" s="67">
        <v>0</v>
      </c>
      <c r="G322" s="67">
        <f>INDEX('Change in Proportion Layers'!$AF$8:$AF$324,MATCH('OPEB Amounts_Report'!A322,'Change in Proportion Layers'!$A$8:$A$324,0))</f>
        <v>0</v>
      </c>
      <c r="H322" s="67">
        <f t="shared" si="24"/>
        <v>0</v>
      </c>
      <c r="I322" s="67"/>
      <c r="J322" s="67">
        <v>0</v>
      </c>
      <c r="K322" s="67">
        <v>0</v>
      </c>
      <c r="L322" s="67">
        <f>INDEX('Change in Proportion Layers'!$AG$8:$AG$324,MATCH('OPEB Amounts_Report'!A322,'Change in Proportion Layers'!$A$8:$A$324,0))</f>
        <v>0</v>
      </c>
      <c r="M322" s="67">
        <f t="shared" si="22"/>
        <v>0</v>
      </c>
      <c r="N322" s="68"/>
      <c r="O322" s="68">
        <v>0</v>
      </c>
      <c r="P322" s="68">
        <f>INDEX('Change in Proportion Layers'!$AD$8:$AD$324,MATCH('OPEB Amounts_Report'!A322,'Change in Proportion Layers'!$A$8:$A$324,0))</f>
        <v>-74761</v>
      </c>
      <c r="Q322" s="68">
        <f t="shared" si="23"/>
        <v>-74761</v>
      </c>
    </row>
    <row r="323" spans="1:17" s="190" customFormat="1" ht="12" customHeight="1">
      <c r="A323" s="227">
        <v>7339</v>
      </c>
      <c r="B323" s="228" t="s">
        <v>497</v>
      </c>
      <c r="C323" s="84">
        <v>0</v>
      </c>
      <c r="D323" s="84">
        <v>0</v>
      </c>
      <c r="E323" s="84">
        <v>0</v>
      </c>
      <c r="F323" s="84">
        <v>0</v>
      </c>
      <c r="G323" s="84">
        <f>INDEX('Change in Proportion Layers'!$AF$8:$AF$324,MATCH('OPEB Amounts_Report'!A323,'Change in Proportion Layers'!$A$8:$A$324,0))</f>
        <v>0</v>
      </c>
      <c r="H323" s="84">
        <f t="shared" ref="H323" si="25">SUM(D323:G323)</f>
        <v>0</v>
      </c>
      <c r="I323" s="84"/>
      <c r="J323" s="84">
        <v>0</v>
      </c>
      <c r="K323" s="84">
        <v>0</v>
      </c>
      <c r="L323" s="84">
        <f>INDEX('Change in Proportion Layers'!$AG$8:$AG$324,MATCH('OPEB Amounts_Report'!A323,'Change in Proportion Layers'!$A$8:$A$324,0))</f>
        <v>0</v>
      </c>
      <c r="M323" s="84">
        <f t="shared" ref="M323" si="26">SUM(J323:L323)</f>
        <v>0</v>
      </c>
      <c r="N323" s="85"/>
      <c r="O323" s="85">
        <v>0</v>
      </c>
      <c r="P323" s="85">
        <f>INDEX('Change in Proportion Layers'!$AD$8:$AD$324,MATCH('OPEB Amounts_Report'!A323,'Change in Proportion Layers'!$A$8:$A$324,0))</f>
        <v>-75382</v>
      </c>
      <c r="Q323" s="85">
        <f t="shared" ref="Q323" si="27">+O323+P323</f>
        <v>-75382</v>
      </c>
    </row>
    <row r="324" spans="1:17" s="190" customFormat="1" ht="12" customHeight="1">
      <c r="A324" s="59">
        <v>2344</v>
      </c>
      <c r="B324" s="63" t="s">
        <v>496</v>
      </c>
      <c r="C324" s="358">
        <v>0</v>
      </c>
      <c r="D324" s="358">
        <v>0</v>
      </c>
      <c r="E324" s="358">
        <v>0</v>
      </c>
      <c r="F324" s="358">
        <v>0</v>
      </c>
      <c r="G324" s="358">
        <f>INDEX('Change in Proportion Layers'!$AF$8:$AF$324,MATCH('OPEB Amounts_Report'!A324,'Change in Proportion Layers'!$A$8:$A$324,0))</f>
        <v>0</v>
      </c>
      <c r="H324" s="358">
        <f>SUM(D324:G324)</f>
        <v>0</v>
      </c>
      <c r="I324" s="67"/>
      <c r="J324" s="358">
        <v>0</v>
      </c>
      <c r="K324" s="358">
        <v>0</v>
      </c>
      <c r="L324" s="358">
        <f>INDEX('Change in Proportion Layers'!$AG$8:$AG$324,MATCH('OPEB Amounts_Report'!A324,'Change in Proportion Layers'!$A$8:$A$324,0))</f>
        <v>0</v>
      </c>
      <c r="M324" s="358">
        <f>SUM(J324:L324)</f>
        <v>0</v>
      </c>
      <c r="N324" s="68"/>
      <c r="O324" s="359">
        <v>0</v>
      </c>
      <c r="P324" s="359">
        <f>INDEX('Change in Proportion Layers'!$AD$8:$AD$324,MATCH('OPEB Amounts_Report'!A324,'Change in Proportion Layers'!$A$8:$A$324,0))</f>
        <v>-117353</v>
      </c>
      <c r="Q324" s="359">
        <f>+O324+P324</f>
        <v>-117353</v>
      </c>
    </row>
    <row r="325" spans="1:17" ht="6.6" customHeight="1">
      <c r="A325" s="64"/>
      <c r="B325" s="54"/>
      <c r="C325" s="294"/>
      <c r="D325" s="294"/>
      <c r="E325" s="294"/>
      <c r="F325" s="294"/>
      <c r="G325" s="294"/>
      <c r="H325" s="294"/>
      <c r="I325" s="294"/>
      <c r="J325" s="294"/>
      <c r="K325" s="294"/>
      <c r="L325" s="294"/>
      <c r="M325" s="294"/>
      <c r="N325" s="295"/>
      <c r="O325" s="295"/>
      <c r="P325" s="295"/>
      <c r="Q325" s="295"/>
    </row>
    <row r="326" spans="1:17" ht="13.5" customHeight="1" thickBot="1">
      <c r="A326" s="65"/>
      <c r="B326" s="66"/>
      <c r="C326" s="69">
        <v>1784800039</v>
      </c>
      <c r="D326" s="69">
        <v>19127775</v>
      </c>
      <c r="E326" s="69">
        <v>15954385</v>
      </c>
      <c r="F326" s="69">
        <v>333980798</v>
      </c>
      <c r="G326" s="69">
        <f>SUM(G10:G324)</f>
        <v>171300015</v>
      </c>
      <c r="H326" s="69">
        <f>SUM(H10:H324)</f>
        <v>540362973</v>
      </c>
      <c r="I326" s="153"/>
      <c r="J326" s="69">
        <v>186430186</v>
      </c>
      <c r="K326" s="69">
        <v>1131807665</v>
      </c>
      <c r="L326" s="69">
        <f>SUM(L10:L324)</f>
        <v>171300015</v>
      </c>
      <c r="M326" s="69">
        <f>SUM(M10:M324)</f>
        <v>1489537866</v>
      </c>
      <c r="N326" s="153"/>
      <c r="O326" s="69">
        <v>-363307901</v>
      </c>
      <c r="P326" s="69">
        <f>SUM(P10:P324)</f>
        <v>0</v>
      </c>
      <c r="Q326" s="69">
        <f>+O326</f>
        <v>-363307901</v>
      </c>
    </row>
    <row r="327" spans="1:17" s="190" customFormat="1" ht="13.5" customHeight="1" thickTop="1">
      <c r="A327" s="274" t="s">
        <v>495</v>
      </c>
      <c r="B327" s="66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</row>
    <row r="328" spans="1:17" s="190" customFormat="1" ht="13.5" customHeight="1">
      <c r="A328" s="274" t="s">
        <v>494</v>
      </c>
      <c r="B328" s="275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</row>
    <row r="329" spans="1:17" ht="12" customHeight="1">
      <c r="A329" s="274" t="s">
        <v>493</v>
      </c>
      <c r="B329" s="194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</row>
    <row r="330" spans="1:17" ht="12" customHeight="1">
      <c r="A330" s="274" t="s">
        <v>492</v>
      </c>
      <c r="B330" s="150"/>
      <c r="D330"/>
    </row>
    <row r="331" spans="1:17" ht="12" customHeight="1">
      <c r="A331" s="274"/>
      <c r="B331" s="150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7" ht="12" customHeight="1">
      <c r="C332" s="87">
        <f t="shared" ref="C332:Q332" si="28">SUM(C10:C324)-C326</f>
        <v>0</v>
      </c>
      <c r="D332" s="87">
        <f t="shared" si="28"/>
        <v>0</v>
      </c>
      <c r="E332" s="87">
        <f t="shared" si="28"/>
        <v>0</v>
      </c>
      <c r="F332" s="280">
        <f t="shared" si="28"/>
        <v>0</v>
      </c>
      <c r="G332" s="87">
        <f t="shared" si="28"/>
        <v>0</v>
      </c>
      <c r="H332" s="87">
        <f t="shared" si="28"/>
        <v>0</v>
      </c>
      <c r="I332" s="87">
        <f t="shared" si="28"/>
        <v>0</v>
      </c>
      <c r="J332" s="87">
        <f t="shared" si="28"/>
        <v>0</v>
      </c>
      <c r="K332" s="87">
        <f t="shared" si="28"/>
        <v>0</v>
      </c>
      <c r="L332" s="87">
        <f t="shared" si="28"/>
        <v>0</v>
      </c>
      <c r="M332" s="87">
        <f t="shared" si="28"/>
        <v>0</v>
      </c>
      <c r="N332" s="87">
        <f t="shared" si="28"/>
        <v>0</v>
      </c>
      <c r="O332" s="87">
        <f t="shared" si="28"/>
        <v>0</v>
      </c>
      <c r="P332" s="87">
        <f t="shared" si="28"/>
        <v>0</v>
      </c>
      <c r="Q332" s="87">
        <f t="shared" si="28"/>
        <v>0</v>
      </c>
    </row>
    <row r="334" spans="1:17" ht="12" customHeight="1">
      <c r="O334" s="163"/>
    </row>
    <row r="335" spans="1:17" ht="12" customHeight="1">
      <c r="M335" s="152"/>
      <c r="O335" s="87"/>
    </row>
    <row r="336" spans="1:17" ht="12" customHeight="1">
      <c r="J336" s="329"/>
      <c r="M336" s="179"/>
      <c r="O336" s="169"/>
    </row>
    <row r="337" spans="13:15" ht="12" customHeight="1">
      <c r="M337" s="180"/>
      <c r="O337" s="192"/>
    </row>
    <row r="338" spans="13:15" ht="12" customHeight="1">
      <c r="O338" s="88"/>
    </row>
  </sheetData>
  <mergeCells count="6">
    <mergeCell ref="J6:M6"/>
    <mergeCell ref="O6:Q6"/>
    <mergeCell ref="D6:H6"/>
    <mergeCell ref="A1:Q1"/>
    <mergeCell ref="A2:Q2"/>
    <mergeCell ref="A3:Q3"/>
  </mergeCells>
  <printOptions horizontalCentered="1"/>
  <pageMargins left="0.7" right="0.7" top="0.5" bottom="0.5" header="0.5" footer="0.5"/>
  <pageSetup scale="50" firstPageNumber="9" fitToHeight="0" orientation="landscape" useFirstPageNumber="1" r:id="rId1"/>
  <headerFooter scaleWithDoc="0">
    <oddFooter>&amp;C&amp;"Arial,Regular"&amp;10&amp;P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1" max="16" man="1"/>
    <brk id="249" max="16" man="1"/>
    <brk id="297" max="16" man="1"/>
  </rowBreaks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01E7-EB52-48CB-A869-5BEC3FFE3070}">
  <sheetPr>
    <tabColor rgb="FF92D050"/>
  </sheetPr>
  <dimension ref="A1:R337"/>
  <sheetViews>
    <sheetView view="pageBreakPreview" topLeftCell="A41" zoomScaleNormal="100" zoomScaleSheetLayoutView="100" workbookViewId="0">
      <selection activeCell="D567" sqref="D567"/>
    </sheetView>
  </sheetViews>
  <sheetFormatPr defaultRowHeight="12" customHeight="1"/>
  <cols>
    <col min="1" max="1" width="10" style="190" customWidth="1"/>
    <col min="2" max="2" width="53.42578125" style="190" customWidth="1"/>
    <col min="3" max="3" width="14.28515625" style="190" bestFit="1" customWidth="1"/>
    <col min="4" max="4" width="12.42578125" style="190" customWidth="1"/>
    <col min="5" max="8" width="13.7109375" style="190" customWidth="1"/>
    <col min="9" max="9" width="1" style="190" customWidth="1"/>
    <col min="10" max="10" width="11.7109375" style="190" customWidth="1"/>
    <col min="11" max="11" width="12.7109375" style="190" bestFit="1" customWidth="1"/>
    <col min="12" max="12" width="11.7109375" style="190" customWidth="1"/>
    <col min="13" max="13" width="13.5703125" style="190" customWidth="1"/>
    <col min="14" max="14" width="0.7109375" style="190" customWidth="1"/>
    <col min="15" max="15" width="13.5703125" style="190" customWidth="1"/>
    <col min="16" max="16" width="11.7109375" style="190" customWidth="1"/>
    <col min="17" max="17" width="14.42578125" style="190" bestFit="1" customWidth="1"/>
    <col min="18" max="18" width="13.7109375" style="190" bestFit="1" customWidth="1"/>
    <col min="19" max="16384" width="9.140625" style="190"/>
  </cols>
  <sheetData>
    <row r="1" spans="1:18" ht="15" customHeight="1">
      <c r="A1" s="429" t="s">
        <v>381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</row>
    <row r="2" spans="1:18" ht="15" customHeight="1">
      <c r="A2" s="430" t="s">
        <v>383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8" ht="15" customHeight="1">
      <c r="A3" s="430" t="s">
        <v>586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1:18" ht="15" customHeight="1"/>
    <row r="6" spans="1:18" ht="12" customHeight="1">
      <c r="A6" s="402"/>
      <c r="B6" s="402"/>
      <c r="C6" s="403"/>
      <c r="D6" s="432" t="s">
        <v>367</v>
      </c>
      <c r="E6" s="432"/>
      <c r="F6" s="432"/>
      <c r="G6" s="432"/>
      <c r="H6" s="432"/>
      <c r="I6" s="403"/>
      <c r="J6" s="432" t="s">
        <v>295</v>
      </c>
      <c r="K6" s="432"/>
      <c r="L6" s="432"/>
      <c r="M6" s="432"/>
      <c r="N6" s="402"/>
      <c r="O6" s="432" t="s">
        <v>386</v>
      </c>
      <c r="P6" s="432"/>
      <c r="Q6" s="432"/>
    </row>
    <row r="7" spans="1:18" ht="90.75" customHeight="1">
      <c r="A7" s="404" t="s">
        <v>0</v>
      </c>
      <c r="B7" s="404" t="s">
        <v>1</v>
      </c>
      <c r="C7" s="404" t="s">
        <v>587</v>
      </c>
      <c r="D7" s="404" t="s">
        <v>296</v>
      </c>
      <c r="E7" s="404" t="s">
        <v>297</v>
      </c>
      <c r="F7" s="405" t="s">
        <v>298</v>
      </c>
      <c r="G7" s="406" t="s">
        <v>368</v>
      </c>
      <c r="H7" s="406" t="s">
        <v>369</v>
      </c>
      <c r="I7" s="404"/>
      <c r="J7" s="404" t="s">
        <v>296</v>
      </c>
      <c r="K7" s="404" t="s">
        <v>298</v>
      </c>
      <c r="L7" s="404" t="s">
        <v>368</v>
      </c>
      <c r="M7" s="404" t="s">
        <v>299</v>
      </c>
      <c r="N7" s="404"/>
      <c r="O7" s="404" t="s">
        <v>388</v>
      </c>
      <c r="P7" s="404" t="s">
        <v>380</v>
      </c>
      <c r="Q7" s="404" t="s">
        <v>387</v>
      </c>
    </row>
    <row r="8" spans="1:18" ht="12" customHeight="1">
      <c r="A8" s="407"/>
      <c r="B8" s="408"/>
      <c r="C8" s="408">
        <v>3</v>
      </c>
      <c r="D8" s="408">
        <v>4</v>
      </c>
      <c r="E8" s="408">
        <v>5</v>
      </c>
      <c r="F8" s="409">
        <v>6</v>
      </c>
      <c r="G8" s="409">
        <v>7</v>
      </c>
      <c r="H8" s="408">
        <v>8</v>
      </c>
      <c r="I8" s="409"/>
      <c r="J8" s="408">
        <v>9</v>
      </c>
      <c r="K8" s="408">
        <v>10</v>
      </c>
      <c r="L8" s="408">
        <v>11</v>
      </c>
      <c r="M8" s="408">
        <v>12</v>
      </c>
      <c r="N8" s="408"/>
      <c r="O8" s="408">
        <v>13</v>
      </c>
      <c r="P8" s="408">
        <v>14</v>
      </c>
      <c r="Q8" s="408">
        <v>15</v>
      </c>
    </row>
    <row r="9" spans="1:18" ht="12" customHeight="1">
      <c r="A9" s="410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</row>
    <row r="10" spans="1:18" ht="12" customHeight="1">
      <c r="A10" s="411">
        <v>1341</v>
      </c>
      <c r="B10" s="412" t="s">
        <v>5</v>
      </c>
      <c r="C10" s="154">
        <v>405284734</v>
      </c>
      <c r="D10" s="154">
        <v>6851369</v>
      </c>
      <c r="E10" s="154">
        <v>8665586</v>
      </c>
      <c r="F10" s="154">
        <v>77995650</v>
      </c>
      <c r="G10" s="154">
        <v>2921784</v>
      </c>
      <c r="H10" s="154">
        <v>96434389</v>
      </c>
      <c r="I10" s="154"/>
      <c r="J10" s="154">
        <v>73376977</v>
      </c>
      <c r="K10" s="154">
        <v>382319279</v>
      </c>
      <c r="L10" s="156">
        <v>13044335</v>
      </c>
      <c r="M10" s="154">
        <v>468740591</v>
      </c>
      <c r="N10" s="155"/>
      <c r="O10" s="155">
        <v>-110647499</v>
      </c>
      <c r="P10" s="155">
        <v>-2280737</v>
      </c>
      <c r="Q10" s="155">
        <v>-112928236</v>
      </c>
      <c r="R10" s="329"/>
    </row>
    <row r="11" spans="1:18" ht="12" customHeight="1">
      <c r="A11" s="413">
        <v>2308</v>
      </c>
      <c r="B11" s="414" t="s">
        <v>6</v>
      </c>
      <c r="C11" s="84">
        <v>770720</v>
      </c>
      <c r="D11" s="84">
        <v>13029</v>
      </c>
      <c r="E11" s="84">
        <v>16479</v>
      </c>
      <c r="F11" s="84">
        <v>148322</v>
      </c>
      <c r="G11" s="84">
        <v>426481</v>
      </c>
      <c r="H11" s="84">
        <v>604311</v>
      </c>
      <c r="I11" s="84"/>
      <c r="J11" s="84">
        <v>139539</v>
      </c>
      <c r="K11" s="84">
        <v>727047</v>
      </c>
      <c r="L11" s="84">
        <v>10880</v>
      </c>
      <c r="M11" s="84">
        <v>877466</v>
      </c>
      <c r="N11" s="85"/>
      <c r="O11" s="85">
        <v>-210416</v>
      </c>
      <c r="P11" s="85">
        <v>146454</v>
      </c>
      <c r="Q11" s="85">
        <v>-63962</v>
      </c>
    </row>
    <row r="12" spans="1:18" ht="12" customHeight="1">
      <c r="A12" s="411">
        <v>2340</v>
      </c>
      <c r="B12" s="415" t="s">
        <v>7</v>
      </c>
      <c r="C12" s="67">
        <v>730133</v>
      </c>
      <c r="D12" s="67">
        <v>12343</v>
      </c>
      <c r="E12" s="67">
        <v>15611</v>
      </c>
      <c r="F12" s="67">
        <v>140511</v>
      </c>
      <c r="G12" s="67">
        <v>115727</v>
      </c>
      <c r="H12" s="67">
        <v>284192</v>
      </c>
      <c r="I12" s="67"/>
      <c r="J12" s="67">
        <v>132191</v>
      </c>
      <c r="K12" s="67">
        <v>688760</v>
      </c>
      <c r="L12" s="67">
        <v>38877</v>
      </c>
      <c r="M12" s="67">
        <v>859828</v>
      </c>
      <c r="N12" s="68"/>
      <c r="O12" s="68">
        <v>-199335</v>
      </c>
      <c r="P12" s="68">
        <v>7986</v>
      </c>
      <c r="Q12" s="68">
        <v>-191349</v>
      </c>
    </row>
    <row r="13" spans="1:18" ht="12" customHeight="1">
      <c r="A13" s="413">
        <v>1301</v>
      </c>
      <c r="B13" s="414" t="s">
        <v>8</v>
      </c>
      <c r="C13" s="84">
        <v>871149</v>
      </c>
      <c r="D13" s="84">
        <v>14727</v>
      </c>
      <c r="E13" s="84">
        <v>18626</v>
      </c>
      <c r="F13" s="84">
        <v>167650</v>
      </c>
      <c r="G13" s="84">
        <v>279212</v>
      </c>
      <c r="H13" s="84">
        <v>480215</v>
      </c>
      <c r="I13" s="84"/>
      <c r="J13" s="84">
        <v>157722</v>
      </c>
      <c r="K13" s="84">
        <v>821785</v>
      </c>
      <c r="L13" s="84">
        <v>26779</v>
      </c>
      <c r="M13" s="84">
        <v>1006286</v>
      </c>
      <c r="N13" s="85"/>
      <c r="O13" s="85">
        <v>-237834</v>
      </c>
      <c r="P13" s="85">
        <v>81590</v>
      </c>
      <c r="Q13" s="85">
        <v>-156244</v>
      </c>
    </row>
    <row r="14" spans="1:18" ht="12" customHeight="1">
      <c r="A14" s="411">
        <v>2390</v>
      </c>
      <c r="B14" s="415" t="s">
        <v>9</v>
      </c>
      <c r="C14" s="67">
        <v>685055</v>
      </c>
      <c r="D14" s="67">
        <v>11581</v>
      </c>
      <c r="E14" s="67">
        <v>14647</v>
      </c>
      <c r="F14" s="67">
        <v>131836</v>
      </c>
      <c r="G14" s="67">
        <v>302208</v>
      </c>
      <c r="H14" s="67">
        <v>460272</v>
      </c>
      <c r="I14" s="67"/>
      <c r="J14" s="67">
        <v>124029</v>
      </c>
      <c r="K14" s="67">
        <v>646236</v>
      </c>
      <c r="L14" s="67">
        <v>86441</v>
      </c>
      <c r="M14" s="67">
        <v>856706</v>
      </c>
      <c r="N14" s="68"/>
      <c r="O14" s="68">
        <v>-187028</v>
      </c>
      <c r="P14" s="68">
        <v>-26252</v>
      </c>
      <c r="Q14" s="68">
        <v>-213280</v>
      </c>
    </row>
    <row r="15" spans="1:18" ht="12" customHeight="1">
      <c r="A15" s="413">
        <v>2441</v>
      </c>
      <c r="B15" s="414" t="s">
        <v>419</v>
      </c>
      <c r="C15" s="84">
        <v>379963</v>
      </c>
      <c r="D15" s="84">
        <v>6423</v>
      </c>
      <c r="E15" s="84">
        <v>8124</v>
      </c>
      <c r="F15" s="84">
        <v>73123</v>
      </c>
      <c r="G15" s="84">
        <v>641362</v>
      </c>
      <c r="H15" s="84">
        <v>729032</v>
      </c>
      <c r="I15" s="84"/>
      <c r="J15" s="84">
        <v>68793</v>
      </c>
      <c r="K15" s="84">
        <v>358433</v>
      </c>
      <c r="L15" s="251">
        <v>0</v>
      </c>
      <c r="M15" s="84">
        <v>427226</v>
      </c>
      <c r="N15" s="85"/>
      <c r="O15" s="85">
        <v>-103734</v>
      </c>
      <c r="P15" s="85">
        <v>158749</v>
      </c>
      <c r="Q15" s="85">
        <v>55015</v>
      </c>
    </row>
    <row r="16" spans="1:18" ht="12" customHeight="1">
      <c r="A16" s="411">
        <v>15046</v>
      </c>
      <c r="B16" s="415" t="s">
        <v>10</v>
      </c>
      <c r="C16" s="67">
        <v>12166497</v>
      </c>
      <c r="D16" s="67">
        <v>205676</v>
      </c>
      <c r="E16" s="67">
        <v>260137</v>
      </c>
      <c r="F16" s="67">
        <v>2341400</v>
      </c>
      <c r="G16" s="250">
        <v>2083034</v>
      </c>
      <c r="H16" s="67">
        <v>4890247</v>
      </c>
      <c r="I16" s="67"/>
      <c r="J16" s="67">
        <v>2202749</v>
      </c>
      <c r="K16" s="67">
        <v>11477083</v>
      </c>
      <c r="L16" s="67">
        <v>1025463</v>
      </c>
      <c r="M16" s="67">
        <v>14705295</v>
      </c>
      <c r="N16" s="68"/>
      <c r="O16" s="68">
        <v>-3321597</v>
      </c>
      <c r="P16" s="68">
        <v>289968</v>
      </c>
      <c r="Q16" s="68">
        <v>-3031629</v>
      </c>
    </row>
    <row r="17" spans="1:17" ht="12" customHeight="1">
      <c r="A17" s="413">
        <v>4380</v>
      </c>
      <c r="B17" s="414" t="s">
        <v>11</v>
      </c>
      <c r="C17" s="84">
        <v>12206163</v>
      </c>
      <c r="D17" s="84">
        <v>206346</v>
      </c>
      <c r="E17" s="84">
        <v>260986</v>
      </c>
      <c r="F17" s="84">
        <v>2349034</v>
      </c>
      <c r="G17" s="84">
        <v>694272</v>
      </c>
      <c r="H17" s="84">
        <v>3510638</v>
      </c>
      <c r="I17" s="84"/>
      <c r="J17" s="84">
        <v>2209931</v>
      </c>
      <c r="K17" s="84">
        <v>11514501</v>
      </c>
      <c r="L17" s="251">
        <v>1642187</v>
      </c>
      <c r="M17" s="84">
        <v>15366619</v>
      </c>
      <c r="N17" s="85"/>
      <c r="O17" s="85">
        <v>-3332427</v>
      </c>
      <c r="P17" s="85">
        <v>-670324</v>
      </c>
      <c r="Q17" s="85">
        <v>-4002751</v>
      </c>
    </row>
    <row r="18" spans="1:17" ht="12" customHeight="1">
      <c r="A18" s="411">
        <v>2343</v>
      </c>
      <c r="B18" s="415" t="s">
        <v>420</v>
      </c>
      <c r="C18" s="67">
        <v>940609</v>
      </c>
      <c r="D18" s="67">
        <v>15901</v>
      </c>
      <c r="E18" s="67">
        <v>20112</v>
      </c>
      <c r="F18" s="67">
        <v>181017</v>
      </c>
      <c r="G18" s="250">
        <v>463405</v>
      </c>
      <c r="H18" s="67">
        <v>680435</v>
      </c>
      <c r="I18" s="67"/>
      <c r="J18" s="67">
        <v>170298</v>
      </c>
      <c r="K18" s="67">
        <v>887309</v>
      </c>
      <c r="L18" s="67">
        <v>134768</v>
      </c>
      <c r="M18" s="67">
        <v>1192375</v>
      </c>
      <c r="N18" s="68"/>
      <c r="O18" s="68">
        <v>-256797</v>
      </c>
      <c r="P18" s="68">
        <v>46032</v>
      </c>
      <c r="Q18" s="68">
        <v>-210765</v>
      </c>
    </row>
    <row r="19" spans="1:17" ht="12" customHeight="1">
      <c r="A19" s="413">
        <v>2435</v>
      </c>
      <c r="B19" s="414" t="s">
        <v>396</v>
      </c>
      <c r="C19" s="84">
        <v>397358</v>
      </c>
      <c r="D19" s="84">
        <v>6717</v>
      </c>
      <c r="E19" s="84">
        <v>8496</v>
      </c>
      <c r="F19" s="84">
        <v>76470</v>
      </c>
      <c r="G19" s="84">
        <v>475083</v>
      </c>
      <c r="H19" s="84">
        <v>566766</v>
      </c>
      <c r="I19" s="84"/>
      <c r="J19" s="84">
        <v>71942</v>
      </c>
      <c r="K19" s="84">
        <v>374842</v>
      </c>
      <c r="L19" s="251">
        <v>0</v>
      </c>
      <c r="M19" s="84">
        <v>446784</v>
      </c>
      <c r="N19" s="85"/>
      <c r="O19" s="85">
        <v>-108483</v>
      </c>
      <c r="P19" s="85">
        <v>191169</v>
      </c>
      <c r="Q19" s="85">
        <v>82686</v>
      </c>
    </row>
    <row r="20" spans="1:17" ht="12" customHeight="1">
      <c r="A20" s="411">
        <v>4560</v>
      </c>
      <c r="B20" s="415" t="s">
        <v>12</v>
      </c>
      <c r="C20" s="67">
        <v>976617</v>
      </c>
      <c r="D20" s="67">
        <v>16510</v>
      </c>
      <c r="E20" s="67">
        <v>20881</v>
      </c>
      <c r="F20" s="67">
        <v>187947</v>
      </c>
      <c r="G20" s="67">
        <v>125259</v>
      </c>
      <c r="H20" s="67">
        <v>350597</v>
      </c>
      <c r="I20" s="67"/>
      <c r="J20" s="67">
        <v>176817</v>
      </c>
      <c r="K20" s="67">
        <v>921277</v>
      </c>
      <c r="L20" s="67">
        <v>224438</v>
      </c>
      <c r="M20" s="67">
        <v>1322532</v>
      </c>
      <c r="N20" s="68"/>
      <c r="O20" s="68">
        <v>-266628</v>
      </c>
      <c r="P20" s="68">
        <v>-86516</v>
      </c>
      <c r="Q20" s="68">
        <v>-353144</v>
      </c>
    </row>
    <row r="21" spans="1:17" ht="12" customHeight="1">
      <c r="A21" s="413">
        <v>2341</v>
      </c>
      <c r="B21" s="414" t="s">
        <v>417</v>
      </c>
      <c r="C21" s="84">
        <v>604489</v>
      </c>
      <c r="D21" s="84">
        <v>10219</v>
      </c>
      <c r="E21" s="84">
        <v>12925</v>
      </c>
      <c r="F21" s="84">
        <v>116332</v>
      </c>
      <c r="G21" s="84">
        <v>6582</v>
      </c>
      <c r="H21" s="84">
        <v>146058</v>
      </c>
      <c r="I21" s="84"/>
      <c r="J21" s="84">
        <v>109443</v>
      </c>
      <c r="K21" s="84">
        <v>570236</v>
      </c>
      <c r="L21" s="84">
        <v>109720</v>
      </c>
      <c r="M21" s="84">
        <v>789399</v>
      </c>
      <c r="N21" s="85"/>
      <c r="O21" s="85">
        <v>-165033</v>
      </c>
      <c r="P21" s="85">
        <v>-44849</v>
      </c>
      <c r="Q21" s="85">
        <v>-209882</v>
      </c>
    </row>
    <row r="22" spans="1:17" ht="12" customHeight="1">
      <c r="A22" s="411">
        <v>4580</v>
      </c>
      <c r="B22" s="415" t="s">
        <v>397</v>
      </c>
      <c r="C22" s="67">
        <v>582649</v>
      </c>
      <c r="D22" s="67">
        <v>9850</v>
      </c>
      <c r="E22" s="67">
        <v>12458</v>
      </c>
      <c r="F22" s="67">
        <v>112129</v>
      </c>
      <c r="G22" s="67">
        <v>304314</v>
      </c>
      <c r="H22" s="67">
        <v>438751</v>
      </c>
      <c r="I22" s="67"/>
      <c r="J22" s="67">
        <v>105489</v>
      </c>
      <c r="K22" s="67">
        <v>549633</v>
      </c>
      <c r="L22" s="250">
        <v>45090</v>
      </c>
      <c r="M22" s="67">
        <v>700212</v>
      </c>
      <c r="N22" s="68"/>
      <c r="O22" s="68">
        <v>-159070</v>
      </c>
      <c r="P22" s="68">
        <v>326089</v>
      </c>
      <c r="Q22" s="68">
        <v>167019</v>
      </c>
    </row>
    <row r="23" spans="1:17" ht="12" customHeight="1">
      <c r="A23" s="413">
        <v>2003</v>
      </c>
      <c r="B23" s="414" t="s">
        <v>13</v>
      </c>
      <c r="C23" s="84">
        <v>190881161</v>
      </c>
      <c r="D23" s="84">
        <v>3226862</v>
      </c>
      <c r="E23" s="84">
        <v>4081317</v>
      </c>
      <c r="F23" s="84">
        <v>36734419</v>
      </c>
      <c r="G23" s="84">
        <v>10633790</v>
      </c>
      <c r="H23" s="84">
        <v>54676388</v>
      </c>
      <c r="I23" s="84"/>
      <c r="J23" s="84">
        <v>34559114</v>
      </c>
      <c r="K23" s="84">
        <v>180064885</v>
      </c>
      <c r="L23" s="84">
        <v>13128085</v>
      </c>
      <c r="M23" s="84">
        <v>227752084</v>
      </c>
      <c r="N23" s="85"/>
      <c r="O23" s="85">
        <v>-52112811</v>
      </c>
      <c r="P23" s="85">
        <v>577424</v>
      </c>
      <c r="Q23" s="85">
        <v>-51535387</v>
      </c>
    </row>
    <row r="24" spans="1:17" ht="12" customHeight="1">
      <c r="A24" s="411">
        <v>2412</v>
      </c>
      <c r="B24" s="415" t="s">
        <v>14</v>
      </c>
      <c r="C24" s="67">
        <v>1738610</v>
      </c>
      <c r="D24" s="67">
        <v>29391</v>
      </c>
      <c r="E24" s="67">
        <v>37174</v>
      </c>
      <c r="F24" s="67">
        <v>334590</v>
      </c>
      <c r="G24" s="67">
        <v>1329243</v>
      </c>
      <c r="H24" s="67">
        <v>1730398</v>
      </c>
      <c r="I24" s="67"/>
      <c r="J24" s="67">
        <v>314776</v>
      </c>
      <c r="K24" s="67">
        <v>1640092</v>
      </c>
      <c r="L24" s="67">
        <v>75483</v>
      </c>
      <c r="M24" s="67">
        <v>2030351</v>
      </c>
      <c r="N24" s="68"/>
      <c r="O24" s="68">
        <v>-474661</v>
      </c>
      <c r="P24" s="68">
        <v>533593</v>
      </c>
      <c r="Q24" s="68">
        <v>58932</v>
      </c>
    </row>
    <row r="25" spans="1:17" ht="12" customHeight="1">
      <c r="A25" s="413">
        <v>2402</v>
      </c>
      <c r="B25" s="414" t="s">
        <v>15</v>
      </c>
      <c r="C25" s="84">
        <v>745981</v>
      </c>
      <c r="D25" s="84">
        <v>12611</v>
      </c>
      <c r="E25" s="84">
        <v>15950</v>
      </c>
      <c r="F25" s="84">
        <v>143561</v>
      </c>
      <c r="G25" s="84">
        <v>476822</v>
      </c>
      <c r="H25" s="84">
        <v>648944</v>
      </c>
      <c r="I25" s="84"/>
      <c r="J25" s="84">
        <v>135060</v>
      </c>
      <c r="K25" s="84">
        <v>703710</v>
      </c>
      <c r="L25" s="84">
        <v>32040</v>
      </c>
      <c r="M25" s="84">
        <v>870810</v>
      </c>
      <c r="N25" s="85"/>
      <c r="O25" s="85">
        <v>-203662</v>
      </c>
      <c r="P25" s="85">
        <v>49119</v>
      </c>
      <c r="Q25" s="85">
        <v>-154543</v>
      </c>
    </row>
    <row r="26" spans="1:17" ht="12" customHeight="1">
      <c r="A26" s="411">
        <v>2361</v>
      </c>
      <c r="B26" s="415" t="s">
        <v>16</v>
      </c>
      <c r="C26" s="67">
        <v>316064</v>
      </c>
      <c r="D26" s="67">
        <v>5343</v>
      </c>
      <c r="E26" s="67">
        <v>6758</v>
      </c>
      <c r="F26" s="67">
        <v>60825</v>
      </c>
      <c r="G26" s="67">
        <v>65902</v>
      </c>
      <c r="H26" s="67">
        <v>138828</v>
      </c>
      <c r="I26" s="67"/>
      <c r="J26" s="67">
        <v>57223</v>
      </c>
      <c r="K26" s="67">
        <v>298154</v>
      </c>
      <c r="L26" s="250">
        <v>193267</v>
      </c>
      <c r="M26" s="67">
        <v>548644</v>
      </c>
      <c r="N26" s="68"/>
      <c r="O26" s="68">
        <v>-86289</v>
      </c>
      <c r="P26" s="68">
        <v>-26124</v>
      </c>
      <c r="Q26" s="68">
        <v>-112413</v>
      </c>
    </row>
    <row r="27" spans="1:17" ht="12" customHeight="1">
      <c r="A27" s="413">
        <v>8347</v>
      </c>
      <c r="B27" s="414" t="s">
        <v>17</v>
      </c>
      <c r="C27" s="84">
        <v>522065</v>
      </c>
      <c r="D27" s="84">
        <v>8826</v>
      </c>
      <c r="E27" s="84">
        <v>11163</v>
      </c>
      <c r="F27" s="84">
        <v>100470</v>
      </c>
      <c r="G27" s="84">
        <v>176334</v>
      </c>
      <c r="H27" s="84">
        <v>296793</v>
      </c>
      <c r="I27" s="84"/>
      <c r="J27" s="84">
        <v>94520</v>
      </c>
      <c r="K27" s="84">
        <v>492482</v>
      </c>
      <c r="L27" s="84">
        <v>151889</v>
      </c>
      <c r="M27" s="84">
        <v>738891</v>
      </c>
      <c r="N27" s="85"/>
      <c r="O27" s="85">
        <v>-142530</v>
      </c>
      <c r="P27" s="85">
        <v>1007</v>
      </c>
      <c r="Q27" s="85">
        <v>-141523</v>
      </c>
    </row>
    <row r="28" spans="1:17" ht="12" customHeight="1">
      <c r="A28" s="411">
        <v>2356</v>
      </c>
      <c r="B28" s="415" t="s">
        <v>18</v>
      </c>
      <c r="C28" s="67">
        <v>1017264</v>
      </c>
      <c r="D28" s="67">
        <v>17197</v>
      </c>
      <c r="E28" s="67">
        <v>21751</v>
      </c>
      <c r="F28" s="67">
        <v>195769</v>
      </c>
      <c r="G28" s="67">
        <v>163437</v>
      </c>
      <c r="H28" s="67">
        <v>398154</v>
      </c>
      <c r="I28" s="67"/>
      <c r="J28" s="67">
        <v>184176</v>
      </c>
      <c r="K28" s="67">
        <v>959621</v>
      </c>
      <c r="L28" s="250">
        <v>0</v>
      </c>
      <c r="M28" s="67">
        <v>1143797</v>
      </c>
      <c r="N28" s="68"/>
      <c r="O28" s="68">
        <v>-277725</v>
      </c>
      <c r="P28" s="68">
        <v>117656</v>
      </c>
      <c r="Q28" s="68">
        <v>-160069</v>
      </c>
    </row>
    <row r="29" spans="1:17" ht="12" customHeight="1">
      <c r="A29" s="413">
        <v>7335</v>
      </c>
      <c r="B29" s="414" t="s">
        <v>19</v>
      </c>
      <c r="C29" s="84">
        <v>352370</v>
      </c>
      <c r="D29" s="84">
        <v>5957</v>
      </c>
      <c r="E29" s="84">
        <v>7534</v>
      </c>
      <c r="F29" s="84">
        <v>67812</v>
      </c>
      <c r="G29" s="251">
        <v>153606</v>
      </c>
      <c r="H29" s="84">
        <v>234909</v>
      </c>
      <c r="I29" s="84"/>
      <c r="J29" s="84">
        <v>63797</v>
      </c>
      <c r="K29" s="84">
        <v>332403</v>
      </c>
      <c r="L29" s="84">
        <v>241295</v>
      </c>
      <c r="M29" s="84">
        <v>637495</v>
      </c>
      <c r="N29" s="85"/>
      <c r="O29" s="85">
        <v>-96201</v>
      </c>
      <c r="P29" s="85">
        <v>-8204</v>
      </c>
      <c r="Q29" s="85">
        <v>-104405</v>
      </c>
    </row>
    <row r="30" spans="1:17" ht="12" customHeight="1">
      <c r="A30" s="411">
        <v>575</v>
      </c>
      <c r="B30" s="415" t="s">
        <v>398</v>
      </c>
      <c r="C30" s="67">
        <v>378610</v>
      </c>
      <c r="D30" s="67">
        <v>6400</v>
      </c>
      <c r="E30" s="67">
        <v>8095</v>
      </c>
      <c r="F30" s="67">
        <v>72862</v>
      </c>
      <c r="G30" s="67">
        <v>377750</v>
      </c>
      <c r="H30" s="67">
        <v>465107</v>
      </c>
      <c r="I30" s="67"/>
      <c r="J30" s="67">
        <v>68548</v>
      </c>
      <c r="K30" s="67">
        <v>357156</v>
      </c>
      <c r="L30" s="250">
        <v>0</v>
      </c>
      <c r="M30" s="67">
        <v>425704</v>
      </c>
      <c r="N30" s="68"/>
      <c r="O30" s="68">
        <v>-103365</v>
      </c>
      <c r="P30" s="68">
        <v>191328</v>
      </c>
      <c r="Q30" s="68">
        <v>87963</v>
      </c>
    </row>
    <row r="31" spans="1:17" ht="12" customHeight="1">
      <c r="A31" s="413">
        <v>2303</v>
      </c>
      <c r="B31" s="414" t="s">
        <v>20</v>
      </c>
      <c r="C31" s="84">
        <v>730370</v>
      </c>
      <c r="D31" s="84">
        <v>12347</v>
      </c>
      <c r="E31" s="84">
        <v>15616</v>
      </c>
      <c r="F31" s="84">
        <v>140557</v>
      </c>
      <c r="G31" s="251">
        <v>34979</v>
      </c>
      <c r="H31" s="84">
        <v>203499</v>
      </c>
      <c r="I31" s="84"/>
      <c r="J31" s="84">
        <v>132234</v>
      </c>
      <c r="K31" s="84">
        <v>688984</v>
      </c>
      <c r="L31" s="84">
        <v>182304</v>
      </c>
      <c r="M31" s="84">
        <v>1003522</v>
      </c>
      <c r="N31" s="85"/>
      <c r="O31" s="85">
        <v>-199400</v>
      </c>
      <c r="P31" s="85">
        <v>-89729</v>
      </c>
      <c r="Q31" s="85">
        <v>-289129</v>
      </c>
    </row>
    <row r="32" spans="1:17" ht="12" customHeight="1">
      <c r="A32" s="411">
        <v>20316</v>
      </c>
      <c r="B32" s="415" t="s">
        <v>21</v>
      </c>
      <c r="C32" s="67">
        <v>464603</v>
      </c>
      <c r="D32" s="67">
        <v>7854</v>
      </c>
      <c r="E32" s="67">
        <v>9934</v>
      </c>
      <c r="F32" s="67">
        <v>89411</v>
      </c>
      <c r="G32" s="67">
        <v>173588</v>
      </c>
      <c r="H32" s="67">
        <v>280787</v>
      </c>
      <c r="I32" s="67"/>
      <c r="J32" s="67">
        <v>84117</v>
      </c>
      <c r="K32" s="67">
        <v>438276</v>
      </c>
      <c r="L32" s="250">
        <v>0</v>
      </c>
      <c r="M32" s="67">
        <v>522393</v>
      </c>
      <c r="N32" s="68"/>
      <c r="O32" s="68">
        <v>-126842</v>
      </c>
      <c r="P32" s="68">
        <v>49577</v>
      </c>
      <c r="Q32" s="68">
        <v>-77265</v>
      </c>
    </row>
    <row r="33" spans="1:17" ht="12" customHeight="1">
      <c r="A33" s="413">
        <v>23121</v>
      </c>
      <c r="B33" s="414" t="s">
        <v>22</v>
      </c>
      <c r="C33" s="84">
        <v>526971</v>
      </c>
      <c r="D33" s="84">
        <v>8908</v>
      </c>
      <c r="E33" s="84">
        <v>11267</v>
      </c>
      <c r="F33" s="84">
        <v>101414</v>
      </c>
      <c r="G33" s="84">
        <v>85555</v>
      </c>
      <c r="H33" s="84">
        <v>207144</v>
      </c>
      <c r="I33" s="84"/>
      <c r="J33" s="84">
        <v>95408</v>
      </c>
      <c r="K33" s="84">
        <v>497110</v>
      </c>
      <c r="L33" s="84">
        <v>93131</v>
      </c>
      <c r="M33" s="84">
        <v>685649</v>
      </c>
      <c r="N33" s="85"/>
      <c r="O33" s="85">
        <v>-143869</v>
      </c>
      <c r="P33" s="85">
        <v>-36692</v>
      </c>
      <c r="Q33" s="85">
        <v>-180561</v>
      </c>
    </row>
    <row r="34" spans="1:17" ht="12" customHeight="1">
      <c r="A34" s="411">
        <v>3004</v>
      </c>
      <c r="B34" s="415" t="s">
        <v>23</v>
      </c>
      <c r="C34" s="67">
        <v>8398606</v>
      </c>
      <c r="D34" s="67">
        <v>141979</v>
      </c>
      <c r="E34" s="67">
        <v>179574</v>
      </c>
      <c r="F34" s="67">
        <v>1616283</v>
      </c>
      <c r="G34" s="67">
        <v>709179</v>
      </c>
      <c r="H34" s="67">
        <v>2647015</v>
      </c>
      <c r="I34" s="67"/>
      <c r="J34" s="67">
        <v>1520571</v>
      </c>
      <c r="K34" s="67">
        <v>7922699</v>
      </c>
      <c r="L34" s="67">
        <v>571803</v>
      </c>
      <c r="M34" s="67">
        <v>10015073</v>
      </c>
      <c r="N34" s="68"/>
      <c r="O34" s="68">
        <v>-2292918</v>
      </c>
      <c r="P34" s="68">
        <v>7867</v>
      </c>
      <c r="Q34" s="68">
        <v>-2285051</v>
      </c>
    </row>
    <row r="35" spans="1:17" ht="12" customHeight="1">
      <c r="A35" s="413">
        <v>16050</v>
      </c>
      <c r="B35" s="414" t="s">
        <v>24</v>
      </c>
      <c r="C35" s="84">
        <v>5653272</v>
      </c>
      <c r="D35" s="84">
        <v>95569</v>
      </c>
      <c r="E35" s="84">
        <v>120875</v>
      </c>
      <c r="F35" s="84">
        <v>1087953</v>
      </c>
      <c r="G35" s="84">
        <v>310787</v>
      </c>
      <c r="H35" s="84">
        <v>1615184</v>
      </c>
      <c r="I35" s="84"/>
      <c r="J35" s="84">
        <v>1023527</v>
      </c>
      <c r="K35" s="84">
        <v>5332929</v>
      </c>
      <c r="L35" s="84">
        <v>263038</v>
      </c>
      <c r="M35" s="84">
        <v>6619494</v>
      </c>
      <c r="N35" s="85"/>
      <c r="O35" s="85">
        <v>-1543410</v>
      </c>
      <c r="P35" s="85">
        <v>-107124</v>
      </c>
      <c r="Q35" s="85">
        <v>-1650534</v>
      </c>
    </row>
    <row r="36" spans="1:17" ht="12" customHeight="1">
      <c r="A36" s="411">
        <v>14043</v>
      </c>
      <c r="B36" s="415" t="s">
        <v>25</v>
      </c>
      <c r="C36" s="67">
        <v>8444516</v>
      </c>
      <c r="D36" s="67">
        <v>142755</v>
      </c>
      <c r="E36" s="67">
        <v>180556</v>
      </c>
      <c r="F36" s="67">
        <v>1625118</v>
      </c>
      <c r="G36" s="67">
        <v>1408956</v>
      </c>
      <c r="H36" s="67">
        <v>3357385</v>
      </c>
      <c r="I36" s="67"/>
      <c r="J36" s="67">
        <v>1528883</v>
      </c>
      <c r="K36" s="67">
        <v>7966007</v>
      </c>
      <c r="L36" s="67">
        <v>1041335</v>
      </c>
      <c r="M36" s="67">
        <v>10536225</v>
      </c>
      <c r="N36" s="68"/>
      <c r="O36" s="68">
        <v>-2305453</v>
      </c>
      <c r="P36" s="68">
        <v>126747</v>
      </c>
      <c r="Q36" s="68">
        <v>-2178706</v>
      </c>
    </row>
    <row r="37" spans="1:17" ht="12" customHeight="1">
      <c r="A37" s="413">
        <v>3010</v>
      </c>
      <c r="B37" s="414" t="s">
        <v>26</v>
      </c>
      <c r="C37" s="84">
        <v>46839511</v>
      </c>
      <c r="D37" s="84">
        <v>791826</v>
      </c>
      <c r="E37" s="84">
        <v>1001497</v>
      </c>
      <c r="F37" s="84">
        <v>9014102</v>
      </c>
      <c r="G37" s="84">
        <v>1351777</v>
      </c>
      <c r="H37" s="84">
        <v>12159202</v>
      </c>
      <c r="I37" s="84"/>
      <c r="J37" s="84">
        <v>8480313</v>
      </c>
      <c r="K37" s="84">
        <v>44185351</v>
      </c>
      <c r="L37" s="251">
        <v>6385916</v>
      </c>
      <c r="M37" s="84">
        <v>59051580</v>
      </c>
      <c r="N37" s="85"/>
      <c r="O37" s="85">
        <v>-12787740</v>
      </c>
      <c r="P37" s="85">
        <v>-833038</v>
      </c>
      <c r="Q37" s="85">
        <v>-13620778</v>
      </c>
    </row>
    <row r="38" spans="1:17" ht="12" customHeight="1">
      <c r="A38" s="411">
        <v>29086</v>
      </c>
      <c r="B38" s="415" t="s">
        <v>27</v>
      </c>
      <c r="C38" s="67">
        <v>9327856</v>
      </c>
      <c r="D38" s="67">
        <v>157688</v>
      </c>
      <c r="E38" s="67">
        <v>199443</v>
      </c>
      <c r="F38" s="67">
        <v>1795114</v>
      </c>
      <c r="G38" s="67">
        <v>3914873</v>
      </c>
      <c r="H38" s="67">
        <v>6067118</v>
      </c>
      <c r="I38" s="67"/>
      <c r="J38" s="67">
        <v>1688812</v>
      </c>
      <c r="K38" s="67">
        <v>8799293</v>
      </c>
      <c r="L38" s="250">
        <v>615377</v>
      </c>
      <c r="M38" s="67">
        <v>11103482</v>
      </c>
      <c r="N38" s="68"/>
      <c r="O38" s="68">
        <v>-2546615</v>
      </c>
      <c r="P38" s="68">
        <v>606886</v>
      </c>
      <c r="Q38" s="68">
        <v>-1939729</v>
      </c>
    </row>
    <row r="39" spans="1:17" ht="12" customHeight="1">
      <c r="A39" s="413">
        <v>16051</v>
      </c>
      <c r="B39" s="414" t="s">
        <v>28</v>
      </c>
      <c r="C39" s="84">
        <v>6549754</v>
      </c>
      <c r="D39" s="84">
        <v>110724</v>
      </c>
      <c r="E39" s="84">
        <v>140043</v>
      </c>
      <c r="F39" s="84">
        <v>1260478</v>
      </c>
      <c r="G39" s="84">
        <v>765786</v>
      </c>
      <c r="H39" s="84">
        <v>2277031</v>
      </c>
      <c r="I39" s="84"/>
      <c r="J39" s="84">
        <v>1185836</v>
      </c>
      <c r="K39" s="84">
        <v>6178613</v>
      </c>
      <c r="L39" s="84">
        <v>365153</v>
      </c>
      <c r="M39" s="84">
        <v>7729602</v>
      </c>
      <c r="N39" s="85"/>
      <c r="O39" s="85">
        <v>-1788160</v>
      </c>
      <c r="P39" s="85">
        <v>145134</v>
      </c>
      <c r="Q39" s="85">
        <v>-1643026</v>
      </c>
    </row>
    <row r="40" spans="1:17" ht="12" customHeight="1">
      <c r="A40" s="411">
        <v>26077</v>
      </c>
      <c r="B40" s="415" t="s">
        <v>29</v>
      </c>
      <c r="C40" s="67">
        <v>1254725</v>
      </c>
      <c r="D40" s="67">
        <v>21211</v>
      </c>
      <c r="E40" s="67">
        <v>26828</v>
      </c>
      <c r="F40" s="67">
        <v>241467</v>
      </c>
      <c r="G40" s="67">
        <v>98972</v>
      </c>
      <c r="H40" s="67">
        <v>388478</v>
      </c>
      <c r="I40" s="67"/>
      <c r="J40" s="67">
        <v>227168</v>
      </c>
      <c r="K40" s="67">
        <v>1183626</v>
      </c>
      <c r="L40" s="67">
        <v>38375</v>
      </c>
      <c r="M40" s="67">
        <v>1449169</v>
      </c>
      <c r="N40" s="68"/>
      <c r="O40" s="68">
        <v>-342555</v>
      </c>
      <c r="P40" s="68">
        <v>36343</v>
      </c>
      <c r="Q40" s="68">
        <v>-306212</v>
      </c>
    </row>
    <row r="41" spans="1:17" ht="12" customHeight="1">
      <c r="A41" s="413">
        <v>3005</v>
      </c>
      <c r="B41" s="414" t="s">
        <v>30</v>
      </c>
      <c r="C41" s="84">
        <v>15613834</v>
      </c>
      <c r="D41" s="84">
        <v>263953</v>
      </c>
      <c r="E41" s="84">
        <v>333846</v>
      </c>
      <c r="F41" s="84">
        <v>3004828</v>
      </c>
      <c r="G41" s="84">
        <v>2744963</v>
      </c>
      <c r="H41" s="84">
        <v>6347590</v>
      </c>
      <c r="I41" s="84"/>
      <c r="J41" s="84">
        <v>2826891</v>
      </c>
      <c r="K41" s="84">
        <v>14729077</v>
      </c>
      <c r="L41" s="84">
        <v>1427477</v>
      </c>
      <c r="M41" s="84">
        <v>18983445</v>
      </c>
      <c r="N41" s="85"/>
      <c r="O41" s="85">
        <v>-4262761</v>
      </c>
      <c r="P41" s="85">
        <v>-47431</v>
      </c>
      <c r="Q41" s="85">
        <v>-4310192</v>
      </c>
    </row>
    <row r="42" spans="1:17" ht="12" customHeight="1">
      <c r="A42" s="411">
        <v>26078</v>
      </c>
      <c r="B42" s="415" t="s">
        <v>31</v>
      </c>
      <c r="C42" s="67">
        <v>544678</v>
      </c>
      <c r="D42" s="67">
        <v>9208</v>
      </c>
      <c r="E42" s="67">
        <v>11646</v>
      </c>
      <c r="F42" s="67">
        <v>104821</v>
      </c>
      <c r="G42" s="67">
        <v>112471</v>
      </c>
      <c r="H42" s="67">
        <v>238146</v>
      </c>
      <c r="I42" s="67"/>
      <c r="J42" s="67">
        <v>98614</v>
      </c>
      <c r="K42" s="67">
        <v>513814</v>
      </c>
      <c r="L42" s="67">
        <v>76888</v>
      </c>
      <c r="M42" s="67">
        <v>689316</v>
      </c>
      <c r="N42" s="68"/>
      <c r="O42" s="68">
        <v>-148704</v>
      </c>
      <c r="P42" s="68">
        <v>11778</v>
      </c>
      <c r="Q42" s="68">
        <v>-136926</v>
      </c>
    </row>
    <row r="43" spans="1:17" ht="12" customHeight="1">
      <c r="A43" s="413">
        <v>16053</v>
      </c>
      <c r="B43" s="414" t="s">
        <v>32</v>
      </c>
      <c r="C43" s="84">
        <v>17258231</v>
      </c>
      <c r="D43" s="84">
        <v>291752</v>
      </c>
      <c r="E43" s="84">
        <v>369006</v>
      </c>
      <c r="F43" s="84">
        <v>3321287</v>
      </c>
      <c r="G43" s="84">
        <v>4351031</v>
      </c>
      <c r="H43" s="84">
        <v>8333076</v>
      </c>
      <c r="I43" s="84"/>
      <c r="J43" s="84">
        <v>3124610</v>
      </c>
      <c r="K43" s="84">
        <v>16280294</v>
      </c>
      <c r="L43" s="251">
        <v>875089</v>
      </c>
      <c r="M43" s="84">
        <v>20279993</v>
      </c>
      <c r="N43" s="85"/>
      <c r="O43" s="85">
        <v>-4711701</v>
      </c>
      <c r="P43" s="85">
        <v>543802</v>
      </c>
      <c r="Q43" s="85">
        <v>-4167899</v>
      </c>
    </row>
    <row r="44" spans="1:17" ht="12" customHeight="1">
      <c r="A44" s="411">
        <v>2123</v>
      </c>
      <c r="B44" s="415" t="s">
        <v>33</v>
      </c>
      <c r="C44" s="67">
        <v>25071140</v>
      </c>
      <c r="D44" s="67">
        <v>423830</v>
      </c>
      <c r="E44" s="67">
        <v>536057</v>
      </c>
      <c r="F44" s="67">
        <v>4824854</v>
      </c>
      <c r="G44" s="67">
        <v>3977454</v>
      </c>
      <c r="H44" s="67">
        <v>9762195</v>
      </c>
      <c r="I44" s="67"/>
      <c r="J44" s="67">
        <v>4539140</v>
      </c>
      <c r="K44" s="67">
        <v>23650484</v>
      </c>
      <c r="L44" s="250">
        <v>10722735</v>
      </c>
      <c r="M44" s="67">
        <v>38912359</v>
      </c>
      <c r="N44" s="68"/>
      <c r="O44" s="68">
        <v>-6844717</v>
      </c>
      <c r="P44" s="68">
        <v>-2008732</v>
      </c>
      <c r="Q44" s="68">
        <v>-8853449</v>
      </c>
    </row>
    <row r="45" spans="1:17" ht="12" customHeight="1">
      <c r="A45" s="413">
        <v>2150</v>
      </c>
      <c r="B45" s="414" t="s">
        <v>34</v>
      </c>
      <c r="C45" s="84">
        <v>1747352</v>
      </c>
      <c r="D45" s="84">
        <v>29539</v>
      </c>
      <c r="E45" s="84">
        <v>37361</v>
      </c>
      <c r="F45" s="84">
        <v>336272</v>
      </c>
      <c r="G45" s="84">
        <v>1353917</v>
      </c>
      <c r="H45" s="84">
        <v>1757089</v>
      </c>
      <c r="I45" s="84"/>
      <c r="J45" s="84">
        <v>316359</v>
      </c>
      <c r="K45" s="84">
        <v>1648339</v>
      </c>
      <c r="L45" s="84">
        <v>76760</v>
      </c>
      <c r="M45" s="84">
        <v>2041458</v>
      </c>
      <c r="N45" s="85"/>
      <c r="O45" s="85">
        <v>-477048</v>
      </c>
      <c r="P45" s="85">
        <v>354532</v>
      </c>
      <c r="Q45" s="85">
        <v>-122516</v>
      </c>
    </row>
    <row r="46" spans="1:17" ht="12" customHeight="1">
      <c r="A46" s="411">
        <v>2336</v>
      </c>
      <c r="B46" s="415" t="s">
        <v>35</v>
      </c>
      <c r="C46" s="67">
        <v>428832</v>
      </c>
      <c r="D46" s="67">
        <v>7249</v>
      </c>
      <c r="E46" s="67">
        <v>9169</v>
      </c>
      <c r="F46" s="67">
        <v>82527</v>
      </c>
      <c r="G46" s="67">
        <v>96109</v>
      </c>
      <c r="H46" s="67">
        <v>195054</v>
      </c>
      <c r="I46" s="67"/>
      <c r="J46" s="67">
        <v>77640</v>
      </c>
      <c r="K46" s="67">
        <v>404532</v>
      </c>
      <c r="L46" s="67">
        <v>53481</v>
      </c>
      <c r="M46" s="67">
        <v>535653</v>
      </c>
      <c r="N46" s="68"/>
      <c r="O46" s="68">
        <v>-117076</v>
      </c>
      <c r="P46" s="68">
        <v>31251</v>
      </c>
      <c r="Q46" s="68">
        <v>-85825</v>
      </c>
    </row>
    <row r="47" spans="1:17" ht="12" customHeight="1">
      <c r="A47" s="413">
        <v>17126</v>
      </c>
      <c r="B47" s="414" t="s">
        <v>36</v>
      </c>
      <c r="C47" s="84">
        <v>1245567</v>
      </c>
      <c r="D47" s="84">
        <v>21056</v>
      </c>
      <c r="E47" s="84">
        <v>26632</v>
      </c>
      <c r="F47" s="84">
        <v>239705</v>
      </c>
      <c r="G47" s="84">
        <v>209846</v>
      </c>
      <c r="H47" s="84">
        <v>497239</v>
      </c>
      <c r="I47" s="84"/>
      <c r="J47" s="84">
        <v>225510</v>
      </c>
      <c r="K47" s="84">
        <v>1174987</v>
      </c>
      <c r="L47" s="251">
        <v>99092</v>
      </c>
      <c r="M47" s="84">
        <v>1499589</v>
      </c>
      <c r="N47" s="85"/>
      <c r="O47" s="85">
        <v>-340054</v>
      </c>
      <c r="P47" s="85">
        <v>-17679</v>
      </c>
      <c r="Q47" s="85">
        <v>-357733</v>
      </c>
    </row>
    <row r="48" spans="1:17" ht="12" customHeight="1">
      <c r="A48" s="411">
        <v>3030</v>
      </c>
      <c r="B48" s="415" t="s">
        <v>37</v>
      </c>
      <c r="C48" s="67">
        <v>3044836</v>
      </c>
      <c r="D48" s="67">
        <v>51473</v>
      </c>
      <c r="E48" s="67">
        <v>65103</v>
      </c>
      <c r="F48" s="67">
        <v>585968</v>
      </c>
      <c r="G48" s="250">
        <v>0</v>
      </c>
      <c r="H48" s="67">
        <v>702544</v>
      </c>
      <c r="I48" s="67"/>
      <c r="J48" s="67">
        <v>551269</v>
      </c>
      <c r="K48" s="67">
        <v>2872300</v>
      </c>
      <c r="L48" s="250">
        <v>1440513</v>
      </c>
      <c r="M48" s="67">
        <v>4864082</v>
      </c>
      <c r="N48" s="68"/>
      <c r="O48" s="68">
        <v>-831276</v>
      </c>
      <c r="P48" s="68">
        <v>-457073</v>
      </c>
      <c r="Q48" s="68">
        <v>-1288349</v>
      </c>
    </row>
    <row r="49" spans="1:17" ht="12" customHeight="1">
      <c r="A49" s="413">
        <v>2353</v>
      </c>
      <c r="B49" s="414" t="s">
        <v>38</v>
      </c>
      <c r="C49" s="84">
        <v>1123357</v>
      </c>
      <c r="D49" s="84">
        <v>18990</v>
      </c>
      <c r="E49" s="84">
        <v>24019</v>
      </c>
      <c r="F49" s="84">
        <v>216186</v>
      </c>
      <c r="G49" s="84">
        <v>782379</v>
      </c>
      <c r="H49" s="84">
        <v>1041574</v>
      </c>
      <c r="I49" s="84"/>
      <c r="J49" s="84">
        <v>203384</v>
      </c>
      <c r="K49" s="84">
        <v>1059702</v>
      </c>
      <c r="L49" s="84">
        <v>216838</v>
      </c>
      <c r="M49" s="84">
        <v>1479924</v>
      </c>
      <c r="N49" s="85"/>
      <c r="O49" s="85">
        <v>-306690</v>
      </c>
      <c r="P49" s="85">
        <v>291690</v>
      </c>
      <c r="Q49" s="85">
        <v>-15000</v>
      </c>
    </row>
    <row r="50" spans="1:17" ht="12" customHeight="1">
      <c r="A50" s="411">
        <v>3040</v>
      </c>
      <c r="B50" s="415" t="s">
        <v>39</v>
      </c>
      <c r="C50" s="67">
        <v>1262054</v>
      </c>
      <c r="D50" s="67">
        <v>21335</v>
      </c>
      <c r="E50" s="67">
        <v>26985</v>
      </c>
      <c r="F50" s="67">
        <v>242878</v>
      </c>
      <c r="G50" s="67">
        <v>38073</v>
      </c>
      <c r="H50" s="67">
        <v>329271</v>
      </c>
      <c r="I50" s="67"/>
      <c r="J50" s="67">
        <v>228495</v>
      </c>
      <c r="K50" s="67">
        <v>1190540</v>
      </c>
      <c r="L50" s="67">
        <v>234269</v>
      </c>
      <c r="M50" s="67">
        <v>1653304</v>
      </c>
      <c r="N50" s="68"/>
      <c r="O50" s="68">
        <v>-344556</v>
      </c>
      <c r="P50" s="68">
        <v>-360341</v>
      </c>
      <c r="Q50" s="68">
        <v>-704897</v>
      </c>
    </row>
    <row r="51" spans="1:17" ht="12" customHeight="1">
      <c r="A51" s="413">
        <v>2367</v>
      </c>
      <c r="B51" s="414" t="s">
        <v>40</v>
      </c>
      <c r="C51" s="84">
        <v>1029931</v>
      </c>
      <c r="D51" s="84">
        <v>17411</v>
      </c>
      <c r="E51" s="84">
        <v>22021</v>
      </c>
      <c r="F51" s="84">
        <v>198207</v>
      </c>
      <c r="G51" s="84">
        <v>424058</v>
      </c>
      <c r="H51" s="84">
        <v>661697</v>
      </c>
      <c r="I51" s="84"/>
      <c r="J51" s="84">
        <v>186470</v>
      </c>
      <c r="K51" s="84">
        <v>971570</v>
      </c>
      <c r="L51" s="84">
        <v>17511</v>
      </c>
      <c r="M51" s="84">
        <v>1175551</v>
      </c>
      <c r="N51" s="85"/>
      <c r="O51" s="85">
        <v>-281183</v>
      </c>
      <c r="P51" s="85">
        <v>99042</v>
      </c>
      <c r="Q51" s="85">
        <v>-182141</v>
      </c>
    </row>
    <row r="52" spans="1:17" ht="12" customHeight="1">
      <c r="A52" s="411">
        <v>9027</v>
      </c>
      <c r="B52" s="415" t="s">
        <v>41</v>
      </c>
      <c r="C52" s="67">
        <v>1283880</v>
      </c>
      <c r="D52" s="67">
        <v>21704</v>
      </c>
      <c r="E52" s="67">
        <v>27451</v>
      </c>
      <c r="F52" s="67">
        <v>247078</v>
      </c>
      <c r="G52" s="67">
        <v>306329</v>
      </c>
      <c r="H52" s="67">
        <v>602562</v>
      </c>
      <c r="I52" s="67"/>
      <c r="J52" s="67">
        <v>232447</v>
      </c>
      <c r="K52" s="67">
        <v>1211129</v>
      </c>
      <c r="L52" s="67">
        <v>117954</v>
      </c>
      <c r="M52" s="67">
        <v>1561530</v>
      </c>
      <c r="N52" s="68"/>
      <c r="O52" s="68">
        <v>-350514</v>
      </c>
      <c r="P52" s="68">
        <v>96235</v>
      </c>
      <c r="Q52" s="68">
        <v>-254279</v>
      </c>
    </row>
    <row r="53" spans="1:17" ht="12" customHeight="1">
      <c r="A53" s="413">
        <v>2010</v>
      </c>
      <c r="B53" s="414" t="s">
        <v>42</v>
      </c>
      <c r="C53" s="84">
        <v>4745074</v>
      </c>
      <c r="D53" s="84">
        <v>80216</v>
      </c>
      <c r="E53" s="84">
        <v>101457</v>
      </c>
      <c r="F53" s="84">
        <v>913173</v>
      </c>
      <c r="G53" s="84">
        <v>490535</v>
      </c>
      <c r="H53" s="84">
        <v>1585381</v>
      </c>
      <c r="I53" s="84"/>
      <c r="J53" s="84">
        <v>859098</v>
      </c>
      <c r="K53" s="84">
        <v>4476194</v>
      </c>
      <c r="L53" s="251">
        <v>456714</v>
      </c>
      <c r="M53" s="84">
        <v>5792006</v>
      </c>
      <c r="N53" s="85"/>
      <c r="O53" s="85">
        <v>-1295461</v>
      </c>
      <c r="P53" s="85">
        <v>-64536</v>
      </c>
      <c r="Q53" s="85">
        <v>-1359997</v>
      </c>
    </row>
    <row r="54" spans="1:17" ht="12" customHeight="1">
      <c r="A54" s="411">
        <v>2020</v>
      </c>
      <c r="B54" s="415" t="s">
        <v>43</v>
      </c>
      <c r="C54" s="67">
        <v>112182507</v>
      </c>
      <c r="D54" s="67">
        <v>1896454</v>
      </c>
      <c r="E54" s="67">
        <v>2398625</v>
      </c>
      <c r="F54" s="67">
        <v>21589135</v>
      </c>
      <c r="G54" s="67">
        <v>1438022</v>
      </c>
      <c r="H54" s="67">
        <v>27322236</v>
      </c>
      <c r="I54" s="67"/>
      <c r="J54" s="67">
        <v>20310690</v>
      </c>
      <c r="K54" s="67">
        <v>105825689</v>
      </c>
      <c r="L54" s="250">
        <v>13148859</v>
      </c>
      <c r="M54" s="67">
        <v>139285238</v>
      </c>
      <c r="N54" s="68"/>
      <c r="O54" s="68">
        <v>-30627149</v>
      </c>
      <c r="P54" s="68">
        <v>-3866288</v>
      </c>
      <c r="Q54" s="68">
        <v>-34493437</v>
      </c>
    </row>
    <row r="55" spans="1:17" ht="12" customHeight="1">
      <c r="A55" s="413">
        <v>2040</v>
      </c>
      <c r="B55" s="414" t="s">
        <v>44</v>
      </c>
      <c r="C55" s="84">
        <v>1606723</v>
      </c>
      <c r="D55" s="84">
        <v>27162</v>
      </c>
      <c r="E55" s="84">
        <v>34354</v>
      </c>
      <c r="F55" s="84">
        <v>309208</v>
      </c>
      <c r="G55" s="84">
        <v>182719</v>
      </c>
      <c r="H55" s="84">
        <v>553443</v>
      </c>
      <c r="I55" s="84"/>
      <c r="J55" s="84">
        <v>290898</v>
      </c>
      <c r="K55" s="84">
        <v>1515678</v>
      </c>
      <c r="L55" s="251">
        <v>120425</v>
      </c>
      <c r="M55" s="84">
        <v>1927001</v>
      </c>
      <c r="N55" s="85"/>
      <c r="O55" s="85">
        <v>-438654</v>
      </c>
      <c r="P55" s="85">
        <v>-8203</v>
      </c>
      <c r="Q55" s="85">
        <v>-446857</v>
      </c>
    </row>
    <row r="56" spans="1:17" ht="12" customHeight="1">
      <c r="A56" s="411">
        <v>2060</v>
      </c>
      <c r="B56" s="415" t="s">
        <v>45</v>
      </c>
      <c r="C56" s="67">
        <v>1693012</v>
      </c>
      <c r="D56" s="67">
        <v>28621</v>
      </c>
      <c r="E56" s="67">
        <v>36199</v>
      </c>
      <c r="F56" s="67">
        <v>325814</v>
      </c>
      <c r="G56" s="67">
        <v>624529</v>
      </c>
      <c r="H56" s="67">
        <v>1015163</v>
      </c>
      <c r="I56" s="67"/>
      <c r="J56" s="67">
        <v>306521</v>
      </c>
      <c r="K56" s="67">
        <v>1597078</v>
      </c>
      <c r="L56" s="250">
        <v>178026</v>
      </c>
      <c r="M56" s="67">
        <v>2081625</v>
      </c>
      <c r="N56" s="68"/>
      <c r="O56" s="68">
        <v>-462212</v>
      </c>
      <c r="P56" s="68">
        <v>113243</v>
      </c>
      <c r="Q56" s="68">
        <v>-348969</v>
      </c>
    </row>
    <row r="57" spans="1:17" ht="12" customHeight="1">
      <c r="A57" s="413">
        <v>2090</v>
      </c>
      <c r="B57" s="414" t="s">
        <v>46</v>
      </c>
      <c r="C57" s="84">
        <v>1307043</v>
      </c>
      <c r="D57" s="84">
        <v>22096</v>
      </c>
      <c r="E57" s="84">
        <v>27946</v>
      </c>
      <c r="F57" s="84">
        <v>251536</v>
      </c>
      <c r="G57" s="84">
        <v>125940</v>
      </c>
      <c r="H57" s="84">
        <v>427518</v>
      </c>
      <c r="I57" s="84"/>
      <c r="J57" s="84">
        <v>236641</v>
      </c>
      <c r="K57" s="84">
        <v>1232979</v>
      </c>
      <c r="L57" s="251">
        <v>191118</v>
      </c>
      <c r="M57" s="84">
        <v>1660738</v>
      </c>
      <c r="N57" s="85"/>
      <c r="O57" s="85">
        <v>-356838</v>
      </c>
      <c r="P57" s="85">
        <v>-284118</v>
      </c>
      <c r="Q57" s="85">
        <v>-640956</v>
      </c>
    </row>
    <row r="58" spans="1:17" ht="12" customHeight="1">
      <c r="A58" s="411">
        <v>2110</v>
      </c>
      <c r="B58" s="412" t="s">
        <v>47</v>
      </c>
      <c r="C58" s="154">
        <v>9249416</v>
      </c>
      <c r="D58" s="154">
        <v>156362</v>
      </c>
      <c r="E58" s="154">
        <v>197766</v>
      </c>
      <c r="F58" s="154">
        <v>1780018</v>
      </c>
      <c r="G58" s="154">
        <v>79042</v>
      </c>
      <c r="H58" s="154">
        <v>2213188</v>
      </c>
      <c r="I58" s="154"/>
      <c r="J58" s="154">
        <v>1674611</v>
      </c>
      <c r="K58" s="154">
        <v>8725298</v>
      </c>
      <c r="L58" s="156">
        <v>2836932</v>
      </c>
      <c r="M58" s="154">
        <v>13236841</v>
      </c>
      <c r="N58" s="155"/>
      <c r="O58" s="155">
        <v>-2525200</v>
      </c>
      <c r="P58" s="155">
        <v>-535632</v>
      </c>
      <c r="Q58" s="155">
        <v>-3060832</v>
      </c>
    </row>
    <row r="59" spans="1:17" ht="12" customHeight="1">
      <c r="A59" s="413">
        <v>2180</v>
      </c>
      <c r="B59" s="414" t="s">
        <v>48</v>
      </c>
      <c r="C59" s="84">
        <v>4616917</v>
      </c>
      <c r="D59" s="84">
        <v>78049</v>
      </c>
      <c r="E59" s="84">
        <v>98716</v>
      </c>
      <c r="F59" s="84">
        <v>888510</v>
      </c>
      <c r="G59" s="84">
        <v>94850</v>
      </c>
      <c r="H59" s="84">
        <v>1160125</v>
      </c>
      <c r="I59" s="84"/>
      <c r="J59" s="84">
        <v>835895</v>
      </c>
      <c r="K59" s="84">
        <v>4355300</v>
      </c>
      <c r="L59" s="84">
        <v>927577</v>
      </c>
      <c r="M59" s="84">
        <v>6118772</v>
      </c>
      <c r="N59" s="85"/>
      <c r="O59" s="85">
        <v>-1260473</v>
      </c>
      <c r="P59" s="85">
        <v>-275125</v>
      </c>
      <c r="Q59" s="85">
        <v>-1535598</v>
      </c>
    </row>
    <row r="60" spans="1:17" ht="12" customHeight="1">
      <c r="A60" s="411">
        <v>2210</v>
      </c>
      <c r="B60" s="415" t="s">
        <v>49</v>
      </c>
      <c r="C60" s="67">
        <v>1909227</v>
      </c>
      <c r="D60" s="67">
        <v>32276</v>
      </c>
      <c r="E60" s="67">
        <v>40822</v>
      </c>
      <c r="F60" s="67">
        <v>367424</v>
      </c>
      <c r="G60" s="67">
        <v>25341</v>
      </c>
      <c r="H60" s="67">
        <v>465863</v>
      </c>
      <c r="I60" s="67"/>
      <c r="J60" s="67">
        <v>345666</v>
      </c>
      <c r="K60" s="67">
        <v>1801041</v>
      </c>
      <c r="L60" s="67">
        <v>933367</v>
      </c>
      <c r="M60" s="67">
        <v>3080074</v>
      </c>
      <c r="N60" s="68"/>
      <c r="O60" s="68">
        <v>-521242</v>
      </c>
      <c r="P60" s="68">
        <v>-310356</v>
      </c>
      <c r="Q60" s="68">
        <v>-831598</v>
      </c>
    </row>
    <row r="61" spans="1:17" ht="12" customHeight="1">
      <c r="A61" s="413">
        <v>2290</v>
      </c>
      <c r="B61" s="414" t="s">
        <v>50</v>
      </c>
      <c r="C61" s="84">
        <v>2203570</v>
      </c>
      <c r="D61" s="84">
        <v>37252</v>
      </c>
      <c r="E61" s="84">
        <v>47116</v>
      </c>
      <c r="F61" s="84">
        <v>424069</v>
      </c>
      <c r="G61" s="84">
        <v>95332</v>
      </c>
      <c r="H61" s="84">
        <v>603769</v>
      </c>
      <c r="I61" s="84"/>
      <c r="J61" s="84">
        <v>398957</v>
      </c>
      <c r="K61" s="84">
        <v>2078705</v>
      </c>
      <c r="L61" s="84">
        <v>215725</v>
      </c>
      <c r="M61" s="84">
        <v>2693387</v>
      </c>
      <c r="N61" s="85"/>
      <c r="O61" s="85">
        <v>-601601</v>
      </c>
      <c r="P61" s="85">
        <v>-47293</v>
      </c>
      <c r="Q61" s="85">
        <v>-648894</v>
      </c>
    </row>
    <row r="62" spans="1:17" ht="12" customHeight="1">
      <c r="A62" s="411">
        <v>2310</v>
      </c>
      <c r="B62" s="415" t="s">
        <v>51</v>
      </c>
      <c r="C62" s="67">
        <v>14821230</v>
      </c>
      <c r="D62" s="67">
        <v>250554</v>
      </c>
      <c r="E62" s="67">
        <v>316899</v>
      </c>
      <c r="F62" s="67">
        <v>2852294</v>
      </c>
      <c r="G62" s="67">
        <v>560012</v>
      </c>
      <c r="H62" s="67">
        <v>3979759</v>
      </c>
      <c r="I62" s="67"/>
      <c r="J62" s="67">
        <v>2683390</v>
      </c>
      <c r="K62" s="67">
        <v>13981385</v>
      </c>
      <c r="L62" s="67">
        <v>4985051</v>
      </c>
      <c r="M62" s="67">
        <v>21649826</v>
      </c>
      <c r="N62" s="68"/>
      <c r="O62" s="68">
        <v>-4046371</v>
      </c>
      <c r="P62" s="68">
        <v>-1395933</v>
      </c>
      <c r="Q62" s="68">
        <v>-5442304</v>
      </c>
    </row>
    <row r="63" spans="1:17" ht="12" customHeight="1">
      <c r="A63" s="413">
        <v>2330</v>
      </c>
      <c r="B63" s="414" t="s">
        <v>52</v>
      </c>
      <c r="C63" s="84">
        <v>4714833</v>
      </c>
      <c r="D63" s="84">
        <v>79705</v>
      </c>
      <c r="E63" s="84">
        <v>100810</v>
      </c>
      <c r="F63" s="84">
        <v>907353</v>
      </c>
      <c r="G63" s="84">
        <v>351963</v>
      </c>
      <c r="H63" s="84">
        <v>1439831</v>
      </c>
      <c r="I63" s="84"/>
      <c r="J63" s="84">
        <v>853623</v>
      </c>
      <c r="K63" s="84">
        <v>4447668</v>
      </c>
      <c r="L63" s="84">
        <v>2725689</v>
      </c>
      <c r="M63" s="84">
        <v>8026980</v>
      </c>
      <c r="N63" s="85"/>
      <c r="O63" s="85">
        <v>-1287205</v>
      </c>
      <c r="P63" s="85">
        <v>-806789</v>
      </c>
      <c r="Q63" s="85">
        <v>-2093994</v>
      </c>
    </row>
    <row r="64" spans="1:17" ht="12" customHeight="1">
      <c r="A64" s="411">
        <v>2380</v>
      </c>
      <c r="B64" s="415" t="s">
        <v>53</v>
      </c>
      <c r="C64" s="67">
        <v>891562</v>
      </c>
      <c r="D64" s="67">
        <v>15072</v>
      </c>
      <c r="E64" s="67">
        <v>19063</v>
      </c>
      <c r="F64" s="67">
        <v>171578</v>
      </c>
      <c r="G64" s="250">
        <v>522679</v>
      </c>
      <c r="H64" s="67">
        <v>728392</v>
      </c>
      <c r="I64" s="67"/>
      <c r="J64" s="67">
        <v>161418</v>
      </c>
      <c r="K64" s="67">
        <v>841041</v>
      </c>
      <c r="L64" s="67">
        <v>0</v>
      </c>
      <c r="M64" s="67">
        <v>1002459</v>
      </c>
      <c r="N64" s="68"/>
      <c r="O64" s="68">
        <v>-243407</v>
      </c>
      <c r="P64" s="68">
        <v>246869</v>
      </c>
      <c r="Q64" s="68">
        <v>3462</v>
      </c>
    </row>
    <row r="65" spans="1:17" ht="12" customHeight="1">
      <c r="A65" s="413">
        <v>2400</v>
      </c>
      <c r="B65" s="414" t="s">
        <v>54</v>
      </c>
      <c r="C65" s="84">
        <v>25749965</v>
      </c>
      <c r="D65" s="84">
        <v>435305</v>
      </c>
      <c r="E65" s="84">
        <v>550572</v>
      </c>
      <c r="F65" s="84">
        <v>4955492</v>
      </c>
      <c r="G65" s="84">
        <v>1227715</v>
      </c>
      <c r="H65" s="84">
        <v>7169084</v>
      </c>
      <c r="I65" s="84"/>
      <c r="J65" s="84">
        <v>4662042</v>
      </c>
      <c r="K65" s="84">
        <v>24290844</v>
      </c>
      <c r="L65" s="251">
        <v>5194287</v>
      </c>
      <c r="M65" s="84">
        <v>34147173</v>
      </c>
      <c r="N65" s="85"/>
      <c r="O65" s="85">
        <v>-7030045</v>
      </c>
      <c r="P65" s="85">
        <v>-494055</v>
      </c>
      <c r="Q65" s="85">
        <v>-7524100</v>
      </c>
    </row>
    <row r="66" spans="1:17" ht="12" customHeight="1">
      <c r="A66" s="411">
        <v>2410</v>
      </c>
      <c r="B66" s="415" t="s">
        <v>55</v>
      </c>
      <c r="C66" s="67">
        <v>2942727</v>
      </c>
      <c r="D66" s="67">
        <v>49747</v>
      </c>
      <c r="E66" s="67">
        <v>62920</v>
      </c>
      <c r="F66" s="67">
        <v>566318</v>
      </c>
      <c r="G66" s="250">
        <v>309370</v>
      </c>
      <c r="H66" s="67">
        <v>988355</v>
      </c>
      <c r="I66" s="67"/>
      <c r="J66" s="67">
        <v>532782</v>
      </c>
      <c r="K66" s="67">
        <v>2775977</v>
      </c>
      <c r="L66" s="67">
        <v>972018</v>
      </c>
      <c r="M66" s="67">
        <v>4280777</v>
      </c>
      <c r="N66" s="68"/>
      <c r="O66" s="68">
        <v>-803399</v>
      </c>
      <c r="P66" s="68">
        <v>-394689</v>
      </c>
      <c r="Q66" s="68">
        <v>-1198088</v>
      </c>
    </row>
    <row r="67" spans="1:17" ht="12" customHeight="1">
      <c r="A67" s="413">
        <v>2500</v>
      </c>
      <c r="B67" s="414" t="s">
        <v>56</v>
      </c>
      <c r="C67" s="84">
        <v>579512</v>
      </c>
      <c r="D67" s="84">
        <v>9797</v>
      </c>
      <c r="E67" s="84">
        <v>12391</v>
      </c>
      <c r="F67" s="84">
        <v>111525</v>
      </c>
      <c r="G67" s="84">
        <v>181867</v>
      </c>
      <c r="H67" s="84">
        <v>315580</v>
      </c>
      <c r="I67" s="84"/>
      <c r="J67" s="84">
        <v>104921</v>
      </c>
      <c r="K67" s="84">
        <v>546674</v>
      </c>
      <c r="L67" s="84">
        <v>55311</v>
      </c>
      <c r="M67" s="84">
        <v>706906</v>
      </c>
      <c r="N67" s="85"/>
      <c r="O67" s="85">
        <v>-158214</v>
      </c>
      <c r="P67" s="85">
        <v>19190</v>
      </c>
      <c r="Q67" s="85">
        <v>-139024</v>
      </c>
    </row>
    <row r="68" spans="1:17" ht="12" customHeight="1">
      <c r="A68" s="411">
        <v>2550</v>
      </c>
      <c r="B68" s="415" t="s">
        <v>57</v>
      </c>
      <c r="C68" s="67">
        <v>1937014</v>
      </c>
      <c r="D68" s="67">
        <v>32745</v>
      </c>
      <c r="E68" s="67">
        <v>41416</v>
      </c>
      <c r="F68" s="67">
        <v>372772</v>
      </c>
      <c r="G68" s="67">
        <v>0</v>
      </c>
      <c r="H68" s="67">
        <v>446933</v>
      </c>
      <c r="I68" s="67"/>
      <c r="J68" s="67">
        <v>350697</v>
      </c>
      <c r="K68" s="67">
        <v>1827254</v>
      </c>
      <c r="L68" s="67">
        <v>324481</v>
      </c>
      <c r="M68" s="67">
        <v>2502432</v>
      </c>
      <c r="N68" s="68"/>
      <c r="O68" s="68">
        <v>-528828</v>
      </c>
      <c r="P68" s="68">
        <v>-155806</v>
      </c>
      <c r="Q68" s="68">
        <v>-684634</v>
      </c>
    </row>
    <row r="69" spans="1:17" ht="12" customHeight="1">
      <c r="A69" s="413">
        <v>2570</v>
      </c>
      <c r="B69" s="414" t="s">
        <v>58</v>
      </c>
      <c r="C69" s="84">
        <v>1150832</v>
      </c>
      <c r="D69" s="84">
        <v>19455</v>
      </c>
      <c r="E69" s="84">
        <v>24606</v>
      </c>
      <c r="F69" s="84">
        <v>221474</v>
      </c>
      <c r="G69" s="84">
        <v>0</v>
      </c>
      <c r="H69" s="84">
        <v>265535</v>
      </c>
      <c r="I69" s="84"/>
      <c r="J69" s="84">
        <v>208359</v>
      </c>
      <c r="K69" s="84">
        <v>1085620</v>
      </c>
      <c r="L69" s="84">
        <v>357059</v>
      </c>
      <c r="M69" s="84">
        <v>1651038</v>
      </c>
      <c r="N69" s="85"/>
      <c r="O69" s="85">
        <v>-314191</v>
      </c>
      <c r="P69" s="85">
        <v>-141094</v>
      </c>
      <c r="Q69" s="85">
        <v>-455285</v>
      </c>
    </row>
    <row r="70" spans="1:17" ht="12" customHeight="1">
      <c r="A70" s="411">
        <v>2620</v>
      </c>
      <c r="B70" s="415" t="s">
        <v>59</v>
      </c>
      <c r="C70" s="67">
        <v>11086418</v>
      </c>
      <c r="D70" s="67">
        <v>187417</v>
      </c>
      <c r="E70" s="67">
        <v>237044</v>
      </c>
      <c r="F70" s="67">
        <v>2133543</v>
      </c>
      <c r="G70" s="67">
        <v>277645</v>
      </c>
      <c r="H70" s="67">
        <v>2835649</v>
      </c>
      <c r="I70" s="67"/>
      <c r="J70" s="67">
        <v>2007201</v>
      </c>
      <c r="K70" s="67">
        <v>10458206</v>
      </c>
      <c r="L70" s="250">
        <v>2213963</v>
      </c>
      <c r="M70" s="67">
        <v>14679370</v>
      </c>
      <c r="N70" s="68"/>
      <c r="O70" s="68">
        <v>-3026723</v>
      </c>
      <c r="P70" s="68">
        <v>-719608</v>
      </c>
      <c r="Q70" s="68">
        <v>-3746331</v>
      </c>
    </row>
    <row r="71" spans="1:17" ht="12" customHeight="1">
      <c r="A71" s="413">
        <v>2630</v>
      </c>
      <c r="B71" s="414" t="s">
        <v>60</v>
      </c>
      <c r="C71" s="84">
        <v>9691643</v>
      </c>
      <c r="D71" s="84">
        <v>163838</v>
      </c>
      <c r="E71" s="84">
        <v>207221</v>
      </c>
      <c r="F71" s="84">
        <v>1865123</v>
      </c>
      <c r="G71" s="84">
        <v>1526960</v>
      </c>
      <c r="H71" s="84">
        <v>3763142</v>
      </c>
      <c r="I71" s="84"/>
      <c r="J71" s="84">
        <v>1754676</v>
      </c>
      <c r="K71" s="84">
        <v>9142467</v>
      </c>
      <c r="L71" s="84">
        <v>1683914</v>
      </c>
      <c r="M71" s="84">
        <v>12581057</v>
      </c>
      <c r="N71" s="85"/>
      <c r="O71" s="85">
        <v>-2645933</v>
      </c>
      <c r="P71" s="85">
        <v>162694</v>
      </c>
      <c r="Q71" s="85">
        <v>-2483239</v>
      </c>
    </row>
    <row r="72" spans="1:17" ht="12" customHeight="1">
      <c r="A72" s="411">
        <v>2690</v>
      </c>
      <c r="B72" s="415" t="s">
        <v>61</v>
      </c>
      <c r="C72" s="67">
        <v>23791735</v>
      </c>
      <c r="D72" s="67">
        <v>402201</v>
      </c>
      <c r="E72" s="67">
        <v>508702</v>
      </c>
      <c r="F72" s="67">
        <v>4578637</v>
      </c>
      <c r="G72" s="67">
        <v>1570235</v>
      </c>
      <c r="H72" s="67">
        <v>7059775</v>
      </c>
      <c r="I72" s="67"/>
      <c r="J72" s="67">
        <v>4307504</v>
      </c>
      <c r="K72" s="67">
        <v>22443577</v>
      </c>
      <c r="L72" s="67">
        <v>5380685</v>
      </c>
      <c r="M72" s="67">
        <v>32131766</v>
      </c>
      <c r="N72" s="68"/>
      <c r="O72" s="68">
        <v>-6495425</v>
      </c>
      <c r="P72" s="68">
        <v>-1765548</v>
      </c>
      <c r="Q72" s="68">
        <v>-8260973</v>
      </c>
    </row>
    <row r="73" spans="1:17" ht="12" customHeight="1">
      <c r="A73" s="413">
        <v>2710</v>
      </c>
      <c r="B73" s="414" t="s">
        <v>62</v>
      </c>
      <c r="C73" s="84">
        <v>275194</v>
      </c>
      <c r="D73" s="84">
        <v>4652</v>
      </c>
      <c r="E73" s="84">
        <v>5884</v>
      </c>
      <c r="F73" s="84">
        <v>52960</v>
      </c>
      <c r="G73" s="84">
        <v>0</v>
      </c>
      <c r="H73" s="84">
        <v>63496</v>
      </c>
      <c r="I73" s="84"/>
      <c r="J73" s="84">
        <v>49824</v>
      </c>
      <c r="K73" s="84">
        <v>259600</v>
      </c>
      <c r="L73" s="84">
        <v>439783</v>
      </c>
      <c r="M73" s="84">
        <v>749207</v>
      </c>
      <c r="N73" s="85"/>
      <c r="O73" s="85">
        <v>-75131</v>
      </c>
      <c r="P73" s="85">
        <v>-150287</v>
      </c>
      <c r="Q73" s="85">
        <v>-225418</v>
      </c>
    </row>
    <row r="74" spans="1:17" ht="12" customHeight="1">
      <c r="A74" s="411">
        <v>2730</v>
      </c>
      <c r="B74" s="415" t="s">
        <v>63</v>
      </c>
      <c r="C74" s="67">
        <v>1726390</v>
      </c>
      <c r="D74" s="67">
        <v>29185</v>
      </c>
      <c r="E74" s="67">
        <v>36913</v>
      </c>
      <c r="F74" s="67">
        <v>332238</v>
      </c>
      <c r="G74" s="67">
        <v>98508</v>
      </c>
      <c r="H74" s="67">
        <v>496844</v>
      </c>
      <c r="I74" s="67"/>
      <c r="J74" s="67">
        <v>312564</v>
      </c>
      <c r="K74" s="67">
        <v>1628564</v>
      </c>
      <c r="L74" s="250">
        <v>151715</v>
      </c>
      <c r="M74" s="67">
        <v>2092843</v>
      </c>
      <c r="N74" s="68"/>
      <c r="O74" s="68">
        <v>-471325</v>
      </c>
      <c r="P74" s="68">
        <v>-95711</v>
      </c>
      <c r="Q74" s="68">
        <v>-567036</v>
      </c>
    </row>
    <row r="75" spans="1:17" ht="12" customHeight="1">
      <c r="A75" s="413">
        <v>2950</v>
      </c>
      <c r="B75" s="414" t="s">
        <v>64</v>
      </c>
      <c r="C75" s="84">
        <v>1220753</v>
      </c>
      <c r="D75" s="84">
        <v>20637</v>
      </c>
      <c r="E75" s="84">
        <v>26101</v>
      </c>
      <c r="F75" s="84">
        <v>234930</v>
      </c>
      <c r="G75" s="84">
        <v>94158</v>
      </c>
      <c r="H75" s="84">
        <v>375826</v>
      </c>
      <c r="I75" s="84"/>
      <c r="J75" s="84">
        <v>221018</v>
      </c>
      <c r="K75" s="84">
        <v>1151579</v>
      </c>
      <c r="L75" s="84">
        <v>573573</v>
      </c>
      <c r="M75" s="84">
        <v>1946170</v>
      </c>
      <c r="N75" s="85"/>
      <c r="O75" s="85">
        <v>-333280</v>
      </c>
      <c r="P75" s="85">
        <v>-8193</v>
      </c>
      <c r="Q75" s="85">
        <v>-341473</v>
      </c>
    </row>
    <row r="76" spans="1:17" ht="12" customHeight="1">
      <c r="A76" s="411">
        <v>2760</v>
      </c>
      <c r="B76" s="415" t="s">
        <v>65</v>
      </c>
      <c r="C76" s="67">
        <v>1231487</v>
      </c>
      <c r="D76" s="67">
        <v>20818</v>
      </c>
      <c r="E76" s="67">
        <v>26331</v>
      </c>
      <c r="F76" s="67">
        <v>236995</v>
      </c>
      <c r="G76" s="67">
        <v>152075</v>
      </c>
      <c r="H76" s="67">
        <v>436219</v>
      </c>
      <c r="I76" s="67"/>
      <c r="J76" s="67">
        <v>222961</v>
      </c>
      <c r="K76" s="67">
        <v>1161705</v>
      </c>
      <c r="L76" s="250">
        <v>290160</v>
      </c>
      <c r="M76" s="67">
        <v>1674826</v>
      </c>
      <c r="N76" s="68"/>
      <c r="O76" s="68">
        <v>-336211</v>
      </c>
      <c r="P76" s="68">
        <v>-50354</v>
      </c>
      <c r="Q76" s="68">
        <v>-386565</v>
      </c>
    </row>
    <row r="77" spans="1:17" ht="12" customHeight="1">
      <c r="A77" s="413">
        <v>2780</v>
      </c>
      <c r="B77" s="414" t="s">
        <v>66</v>
      </c>
      <c r="C77" s="84">
        <v>96697</v>
      </c>
      <c r="D77" s="84">
        <v>1635</v>
      </c>
      <c r="E77" s="84">
        <v>2068</v>
      </c>
      <c r="F77" s="84">
        <v>18609</v>
      </c>
      <c r="G77" s="251">
        <v>12242</v>
      </c>
      <c r="H77" s="84">
        <v>34554</v>
      </c>
      <c r="I77" s="84"/>
      <c r="J77" s="84">
        <v>17507</v>
      </c>
      <c r="K77" s="84">
        <v>91218</v>
      </c>
      <c r="L77" s="84">
        <v>65536</v>
      </c>
      <c r="M77" s="84">
        <v>174261</v>
      </c>
      <c r="N77" s="85"/>
      <c r="O77" s="85">
        <v>-26399</v>
      </c>
      <c r="P77" s="85">
        <v>-11581</v>
      </c>
      <c r="Q77" s="85">
        <v>-37980</v>
      </c>
    </row>
    <row r="78" spans="1:17" ht="12" customHeight="1">
      <c r="A78" s="411">
        <v>2810</v>
      </c>
      <c r="B78" s="415" t="s">
        <v>67</v>
      </c>
      <c r="C78" s="67">
        <v>936565</v>
      </c>
      <c r="D78" s="67">
        <v>15833</v>
      </c>
      <c r="E78" s="67">
        <v>20025</v>
      </c>
      <c r="F78" s="67">
        <v>180239</v>
      </c>
      <c r="G78" s="67">
        <v>27930</v>
      </c>
      <c r="H78" s="67">
        <v>244027</v>
      </c>
      <c r="I78" s="67"/>
      <c r="J78" s="67">
        <v>169565</v>
      </c>
      <c r="K78" s="67">
        <v>883494</v>
      </c>
      <c r="L78" s="250">
        <v>647554</v>
      </c>
      <c r="M78" s="67">
        <v>1700613</v>
      </c>
      <c r="N78" s="68"/>
      <c r="O78" s="68">
        <v>-255693</v>
      </c>
      <c r="P78" s="68">
        <v>-225534</v>
      </c>
      <c r="Q78" s="68">
        <v>-481227</v>
      </c>
    </row>
    <row r="79" spans="1:17" ht="12" customHeight="1">
      <c r="A79" s="413">
        <v>18056</v>
      </c>
      <c r="B79" s="414" t="s">
        <v>68</v>
      </c>
      <c r="C79" s="84">
        <v>1204102</v>
      </c>
      <c r="D79" s="84">
        <v>20355</v>
      </c>
      <c r="E79" s="84">
        <v>25745</v>
      </c>
      <c r="F79" s="84">
        <v>231725</v>
      </c>
      <c r="G79" s="251">
        <v>230769</v>
      </c>
      <c r="H79" s="84">
        <v>508594</v>
      </c>
      <c r="I79" s="84"/>
      <c r="J79" s="84">
        <v>218003</v>
      </c>
      <c r="K79" s="84">
        <v>1135871</v>
      </c>
      <c r="L79" s="84">
        <v>244334</v>
      </c>
      <c r="M79" s="84">
        <v>1598208</v>
      </c>
      <c r="N79" s="85"/>
      <c r="O79" s="85">
        <v>-328734</v>
      </c>
      <c r="P79" s="85">
        <v>79683</v>
      </c>
      <c r="Q79" s="85">
        <v>-249051</v>
      </c>
    </row>
    <row r="80" spans="1:17" ht="12" customHeight="1">
      <c r="A80" s="411">
        <v>15047</v>
      </c>
      <c r="B80" s="415" t="s">
        <v>69</v>
      </c>
      <c r="C80" s="67">
        <v>1183302</v>
      </c>
      <c r="D80" s="67">
        <v>20004</v>
      </c>
      <c r="E80" s="67">
        <v>25301</v>
      </c>
      <c r="F80" s="67">
        <v>227722</v>
      </c>
      <c r="G80" s="67">
        <v>473038</v>
      </c>
      <c r="H80" s="67">
        <v>746065</v>
      </c>
      <c r="I80" s="67"/>
      <c r="J80" s="67">
        <v>214237</v>
      </c>
      <c r="K80" s="67">
        <v>1116251</v>
      </c>
      <c r="L80" s="67">
        <v>20865</v>
      </c>
      <c r="M80" s="67">
        <v>1351353</v>
      </c>
      <c r="N80" s="68"/>
      <c r="O80" s="68">
        <v>-323056</v>
      </c>
      <c r="P80" s="68">
        <v>134287</v>
      </c>
      <c r="Q80" s="68">
        <v>-188769</v>
      </c>
    </row>
    <row r="81" spans="1:17" ht="12" customHeight="1">
      <c r="A81" s="413">
        <v>5012</v>
      </c>
      <c r="B81" s="414" t="s">
        <v>70</v>
      </c>
      <c r="C81" s="84">
        <v>17252507</v>
      </c>
      <c r="D81" s="84">
        <v>291655</v>
      </c>
      <c r="E81" s="84">
        <v>368884</v>
      </c>
      <c r="F81" s="84">
        <v>3320185</v>
      </c>
      <c r="G81" s="84">
        <v>1855354</v>
      </c>
      <c r="H81" s="84">
        <v>5836078</v>
      </c>
      <c r="I81" s="84"/>
      <c r="J81" s="84">
        <v>3123574</v>
      </c>
      <c r="K81" s="84">
        <v>16274894</v>
      </c>
      <c r="L81" s="84">
        <v>867133</v>
      </c>
      <c r="M81" s="84">
        <v>20265601</v>
      </c>
      <c r="N81" s="85"/>
      <c r="O81" s="85">
        <v>-4710138</v>
      </c>
      <c r="P81" s="85">
        <v>455755</v>
      </c>
      <c r="Q81" s="85">
        <v>-4254383</v>
      </c>
    </row>
    <row r="82" spans="1:17" ht="12" customHeight="1">
      <c r="A82" s="411">
        <v>8024</v>
      </c>
      <c r="B82" s="415" t="s">
        <v>71</v>
      </c>
      <c r="C82" s="67">
        <v>3577694</v>
      </c>
      <c r="D82" s="67">
        <v>60481</v>
      </c>
      <c r="E82" s="67">
        <v>76496</v>
      </c>
      <c r="F82" s="67">
        <v>688515</v>
      </c>
      <c r="G82" s="67">
        <v>512196</v>
      </c>
      <c r="H82" s="67">
        <v>1337688</v>
      </c>
      <c r="I82" s="67"/>
      <c r="J82" s="67">
        <v>647743</v>
      </c>
      <c r="K82" s="67">
        <v>3374964</v>
      </c>
      <c r="L82" s="67">
        <v>837982</v>
      </c>
      <c r="M82" s="67">
        <v>4860689</v>
      </c>
      <c r="N82" s="68"/>
      <c r="O82" s="68">
        <v>-976753</v>
      </c>
      <c r="P82" s="68">
        <v>208919</v>
      </c>
      <c r="Q82" s="68">
        <v>-767834</v>
      </c>
    </row>
    <row r="83" spans="1:17" ht="12" customHeight="1">
      <c r="A83" s="413">
        <v>3050</v>
      </c>
      <c r="B83" s="414" t="s">
        <v>72</v>
      </c>
      <c r="C83" s="84">
        <v>1274483</v>
      </c>
      <c r="D83" s="84">
        <v>21545</v>
      </c>
      <c r="E83" s="84">
        <v>27250</v>
      </c>
      <c r="F83" s="84">
        <v>245270</v>
      </c>
      <c r="G83" s="84">
        <v>304451</v>
      </c>
      <c r="H83" s="84">
        <v>598516</v>
      </c>
      <c r="I83" s="84"/>
      <c r="J83" s="84">
        <v>230746</v>
      </c>
      <c r="K83" s="84">
        <v>1202265</v>
      </c>
      <c r="L83" s="84">
        <v>150390</v>
      </c>
      <c r="M83" s="84">
        <v>1583401</v>
      </c>
      <c r="N83" s="85"/>
      <c r="O83" s="85">
        <v>-347949</v>
      </c>
      <c r="P83" s="85">
        <v>61059</v>
      </c>
      <c r="Q83" s="85">
        <v>-286890</v>
      </c>
    </row>
    <row r="84" spans="1:17" ht="12" customHeight="1">
      <c r="A84" s="411">
        <v>2421</v>
      </c>
      <c r="B84" s="415" t="s">
        <v>73</v>
      </c>
      <c r="C84" s="67">
        <v>483113</v>
      </c>
      <c r="D84" s="67">
        <v>8167</v>
      </c>
      <c r="E84" s="67">
        <v>10330</v>
      </c>
      <c r="F84" s="67">
        <v>92973</v>
      </c>
      <c r="G84" s="67">
        <v>154180</v>
      </c>
      <c r="H84" s="67">
        <v>265650</v>
      </c>
      <c r="I84" s="67"/>
      <c r="J84" s="67">
        <v>87468</v>
      </c>
      <c r="K84" s="67">
        <v>455737</v>
      </c>
      <c r="L84" s="67">
        <v>79785</v>
      </c>
      <c r="M84" s="67">
        <v>622990</v>
      </c>
      <c r="N84" s="68"/>
      <c r="O84" s="68">
        <v>-131895</v>
      </c>
      <c r="P84" s="68">
        <v>889</v>
      </c>
      <c r="Q84" s="68">
        <v>-131006</v>
      </c>
    </row>
    <row r="85" spans="1:17" ht="12" customHeight="1">
      <c r="A85" s="413">
        <v>26079</v>
      </c>
      <c r="B85" s="414" t="s">
        <v>74</v>
      </c>
      <c r="C85" s="84">
        <v>390400</v>
      </c>
      <c r="D85" s="84">
        <v>6600</v>
      </c>
      <c r="E85" s="84">
        <v>8347</v>
      </c>
      <c r="F85" s="84">
        <v>75131</v>
      </c>
      <c r="G85" s="84">
        <v>28135</v>
      </c>
      <c r="H85" s="84">
        <v>118213</v>
      </c>
      <c r="I85" s="84"/>
      <c r="J85" s="84">
        <v>70682</v>
      </c>
      <c r="K85" s="84">
        <v>368278</v>
      </c>
      <c r="L85" s="251">
        <v>33566</v>
      </c>
      <c r="M85" s="84">
        <v>472526</v>
      </c>
      <c r="N85" s="85"/>
      <c r="O85" s="85">
        <v>-106584</v>
      </c>
      <c r="P85" s="85">
        <v>-19763</v>
      </c>
      <c r="Q85" s="85">
        <v>-126347</v>
      </c>
    </row>
    <row r="86" spans="1:17" ht="12" customHeight="1">
      <c r="A86" s="411">
        <v>2363</v>
      </c>
      <c r="B86" s="415" t="s">
        <v>75</v>
      </c>
      <c r="C86" s="67">
        <v>509294</v>
      </c>
      <c r="D86" s="67">
        <v>8610</v>
      </c>
      <c r="E86" s="67">
        <v>10889</v>
      </c>
      <c r="F86" s="67">
        <v>98012</v>
      </c>
      <c r="G86" s="67">
        <v>47935</v>
      </c>
      <c r="H86" s="67">
        <v>165446</v>
      </c>
      <c r="I86" s="67"/>
      <c r="J86" s="67">
        <v>92208</v>
      </c>
      <c r="K86" s="67">
        <v>480435</v>
      </c>
      <c r="L86" s="250">
        <v>20942</v>
      </c>
      <c r="M86" s="67">
        <v>593585</v>
      </c>
      <c r="N86" s="68"/>
      <c r="O86" s="68">
        <v>-139043</v>
      </c>
      <c r="P86" s="68">
        <v>5797</v>
      </c>
      <c r="Q86" s="68">
        <v>-133246</v>
      </c>
    </row>
    <row r="87" spans="1:17" ht="12" customHeight="1">
      <c r="A87" s="413">
        <v>2364</v>
      </c>
      <c r="B87" s="414" t="s">
        <v>76</v>
      </c>
      <c r="C87" s="84">
        <v>1593937</v>
      </c>
      <c r="D87" s="84">
        <v>26946</v>
      </c>
      <c r="E87" s="84">
        <v>34081</v>
      </c>
      <c r="F87" s="84">
        <v>306748</v>
      </c>
      <c r="G87" s="84">
        <v>707754</v>
      </c>
      <c r="H87" s="84">
        <v>1075529</v>
      </c>
      <c r="I87" s="84"/>
      <c r="J87" s="84">
        <v>288583</v>
      </c>
      <c r="K87" s="84">
        <v>1503616</v>
      </c>
      <c r="L87" s="84">
        <v>10246</v>
      </c>
      <c r="M87" s="84">
        <v>1802445</v>
      </c>
      <c r="N87" s="85"/>
      <c r="O87" s="85">
        <v>-435164</v>
      </c>
      <c r="P87" s="85">
        <v>170282</v>
      </c>
      <c r="Q87" s="85">
        <v>-264882</v>
      </c>
    </row>
    <row r="88" spans="1:17" ht="12" customHeight="1">
      <c r="A88" s="411">
        <v>25319</v>
      </c>
      <c r="B88" s="415" t="s">
        <v>77</v>
      </c>
      <c r="C88" s="67">
        <v>337071</v>
      </c>
      <c r="D88" s="67">
        <v>5698</v>
      </c>
      <c r="E88" s="67">
        <v>7207</v>
      </c>
      <c r="F88" s="67">
        <v>64868</v>
      </c>
      <c r="G88" s="67">
        <v>66939</v>
      </c>
      <c r="H88" s="67">
        <v>144712</v>
      </c>
      <c r="I88" s="67"/>
      <c r="J88" s="67">
        <v>61027</v>
      </c>
      <c r="K88" s="67">
        <v>317971</v>
      </c>
      <c r="L88" s="67">
        <v>113795</v>
      </c>
      <c r="M88" s="67">
        <v>492793</v>
      </c>
      <c r="N88" s="68"/>
      <c r="O88" s="68">
        <v>-92024</v>
      </c>
      <c r="P88" s="68">
        <v>7201</v>
      </c>
      <c r="Q88" s="68">
        <v>-84823</v>
      </c>
    </row>
    <row r="89" spans="1:17" ht="12" customHeight="1">
      <c r="A89" s="413">
        <v>29087</v>
      </c>
      <c r="B89" s="414" t="s">
        <v>78</v>
      </c>
      <c r="C89" s="84">
        <v>3046010</v>
      </c>
      <c r="D89" s="84">
        <v>51493</v>
      </c>
      <c r="E89" s="84">
        <v>65128</v>
      </c>
      <c r="F89" s="84">
        <v>586194</v>
      </c>
      <c r="G89" s="84">
        <v>1769070</v>
      </c>
      <c r="H89" s="84">
        <v>2471885</v>
      </c>
      <c r="I89" s="84"/>
      <c r="J89" s="84">
        <v>551481</v>
      </c>
      <c r="K89" s="84">
        <v>2873408</v>
      </c>
      <c r="L89" s="84">
        <v>118984</v>
      </c>
      <c r="M89" s="84">
        <v>3543873</v>
      </c>
      <c r="N89" s="85"/>
      <c r="O89" s="85">
        <v>-831597</v>
      </c>
      <c r="P89" s="85">
        <v>526120</v>
      </c>
      <c r="Q89" s="85">
        <v>-305477</v>
      </c>
    </row>
    <row r="90" spans="1:17" ht="12" customHeight="1">
      <c r="A90" s="411">
        <v>3060</v>
      </c>
      <c r="B90" s="415" t="s">
        <v>79</v>
      </c>
      <c r="C90" s="67">
        <v>1919189</v>
      </c>
      <c r="D90" s="67">
        <v>32444</v>
      </c>
      <c r="E90" s="67">
        <v>41035</v>
      </c>
      <c r="F90" s="67">
        <v>369341</v>
      </c>
      <c r="G90" s="67">
        <v>14793</v>
      </c>
      <c r="H90" s="67">
        <v>457613</v>
      </c>
      <c r="I90" s="67"/>
      <c r="J90" s="67">
        <v>347470</v>
      </c>
      <c r="K90" s="67">
        <v>1810438</v>
      </c>
      <c r="L90" s="67">
        <v>538934</v>
      </c>
      <c r="M90" s="67">
        <v>2696842</v>
      </c>
      <c r="N90" s="68"/>
      <c r="O90" s="68">
        <v>-523961</v>
      </c>
      <c r="P90" s="68">
        <v>-206972</v>
      </c>
      <c r="Q90" s="68">
        <v>-730933</v>
      </c>
    </row>
    <row r="91" spans="1:17" ht="12" customHeight="1">
      <c r="A91" s="413">
        <v>19301</v>
      </c>
      <c r="B91" s="414" t="s">
        <v>80</v>
      </c>
      <c r="C91" s="84">
        <v>362821</v>
      </c>
      <c r="D91" s="84">
        <v>6134</v>
      </c>
      <c r="E91" s="84">
        <v>7758</v>
      </c>
      <c r="F91" s="84">
        <v>69824</v>
      </c>
      <c r="G91" s="84">
        <v>102081</v>
      </c>
      <c r="H91" s="84">
        <v>185797</v>
      </c>
      <c r="I91" s="84"/>
      <c r="J91" s="84">
        <v>65689</v>
      </c>
      <c r="K91" s="84">
        <v>342262</v>
      </c>
      <c r="L91" s="251">
        <v>61821</v>
      </c>
      <c r="M91" s="84">
        <v>469772</v>
      </c>
      <c r="N91" s="85"/>
      <c r="O91" s="85">
        <v>-99055</v>
      </c>
      <c r="P91" s="85">
        <v>-17180</v>
      </c>
      <c r="Q91" s="85">
        <v>-116235</v>
      </c>
    </row>
    <row r="92" spans="1:17" ht="12" customHeight="1">
      <c r="A92" s="411">
        <v>19059</v>
      </c>
      <c r="B92" s="415" t="s">
        <v>81</v>
      </c>
      <c r="C92" s="67">
        <v>12582840</v>
      </c>
      <c r="D92" s="67">
        <v>212714</v>
      </c>
      <c r="E92" s="67">
        <v>269039</v>
      </c>
      <c r="F92" s="67">
        <v>2421524</v>
      </c>
      <c r="G92" s="67">
        <v>2647331</v>
      </c>
      <c r="H92" s="67">
        <v>5550608</v>
      </c>
      <c r="I92" s="67"/>
      <c r="J92" s="67">
        <v>2278129</v>
      </c>
      <c r="K92" s="67">
        <v>11869834</v>
      </c>
      <c r="L92" s="250">
        <v>930085</v>
      </c>
      <c r="M92" s="67">
        <v>15078048</v>
      </c>
      <c r="N92" s="68"/>
      <c r="O92" s="68">
        <v>-3435264</v>
      </c>
      <c r="P92" s="68">
        <v>686896</v>
      </c>
      <c r="Q92" s="68">
        <v>-2748368</v>
      </c>
    </row>
    <row r="93" spans="1:17" ht="12" customHeight="1">
      <c r="A93" s="413">
        <v>18057</v>
      </c>
      <c r="B93" s="414" t="s">
        <v>82</v>
      </c>
      <c r="C93" s="84">
        <v>477478</v>
      </c>
      <c r="D93" s="84">
        <v>8072</v>
      </c>
      <c r="E93" s="84">
        <v>10209</v>
      </c>
      <c r="F93" s="84">
        <v>91889</v>
      </c>
      <c r="G93" s="84">
        <v>80484</v>
      </c>
      <c r="H93" s="84">
        <v>190654</v>
      </c>
      <c r="I93" s="84"/>
      <c r="J93" s="84">
        <v>86448</v>
      </c>
      <c r="K93" s="84">
        <v>450422</v>
      </c>
      <c r="L93" s="84">
        <v>16086</v>
      </c>
      <c r="M93" s="84">
        <v>552956</v>
      </c>
      <c r="N93" s="85"/>
      <c r="O93" s="85">
        <v>-130357</v>
      </c>
      <c r="P93" s="85">
        <v>16256</v>
      </c>
      <c r="Q93" s="85">
        <v>-114101</v>
      </c>
    </row>
    <row r="94" spans="1:17" ht="12" customHeight="1">
      <c r="A94" s="411">
        <v>4008</v>
      </c>
      <c r="B94" s="415" t="s">
        <v>83</v>
      </c>
      <c r="C94" s="67">
        <v>2162165</v>
      </c>
      <c r="D94" s="67">
        <v>36552</v>
      </c>
      <c r="E94" s="67">
        <v>46230</v>
      </c>
      <c r="F94" s="67">
        <v>416101</v>
      </c>
      <c r="G94" s="67">
        <v>535870</v>
      </c>
      <c r="H94" s="67">
        <v>1034753</v>
      </c>
      <c r="I94" s="67"/>
      <c r="J94" s="67">
        <v>391461</v>
      </c>
      <c r="K94" s="67">
        <v>2039646</v>
      </c>
      <c r="L94" s="67">
        <v>240008</v>
      </c>
      <c r="M94" s="67">
        <v>2671115</v>
      </c>
      <c r="N94" s="68"/>
      <c r="O94" s="68">
        <v>-590296</v>
      </c>
      <c r="P94" s="68">
        <v>-95568</v>
      </c>
      <c r="Q94" s="68">
        <v>-685864</v>
      </c>
    </row>
    <row r="95" spans="1:17" ht="12" customHeight="1">
      <c r="A95" s="413">
        <v>2350</v>
      </c>
      <c r="B95" s="414" t="s">
        <v>84</v>
      </c>
      <c r="C95" s="84">
        <v>715860</v>
      </c>
      <c r="D95" s="84">
        <v>12102</v>
      </c>
      <c r="E95" s="84">
        <v>15306</v>
      </c>
      <c r="F95" s="84">
        <v>137765</v>
      </c>
      <c r="G95" s="84">
        <v>216381</v>
      </c>
      <c r="H95" s="84">
        <v>381554</v>
      </c>
      <c r="I95" s="84"/>
      <c r="J95" s="84">
        <v>129607</v>
      </c>
      <c r="K95" s="84">
        <v>675296</v>
      </c>
      <c r="L95" s="251">
        <v>0</v>
      </c>
      <c r="M95" s="84">
        <v>804903</v>
      </c>
      <c r="N95" s="85"/>
      <c r="O95" s="85">
        <v>-195438</v>
      </c>
      <c r="P95" s="85">
        <v>34055</v>
      </c>
      <c r="Q95" s="85">
        <v>-161383</v>
      </c>
    </row>
    <row r="96" spans="1:17" ht="12" customHeight="1">
      <c r="A96" s="411">
        <v>11117</v>
      </c>
      <c r="B96" s="415" t="s">
        <v>85</v>
      </c>
      <c r="C96" s="67">
        <v>673191</v>
      </c>
      <c r="D96" s="67">
        <v>11380</v>
      </c>
      <c r="E96" s="67">
        <v>14394</v>
      </c>
      <c r="F96" s="67">
        <v>129553</v>
      </c>
      <c r="G96" s="67">
        <v>27305</v>
      </c>
      <c r="H96" s="67">
        <v>182632</v>
      </c>
      <c r="I96" s="67"/>
      <c r="J96" s="67">
        <v>121881</v>
      </c>
      <c r="K96" s="67">
        <v>635044</v>
      </c>
      <c r="L96" s="250">
        <v>114282</v>
      </c>
      <c r="M96" s="67">
        <v>871207</v>
      </c>
      <c r="N96" s="68"/>
      <c r="O96" s="68">
        <v>-183789</v>
      </c>
      <c r="P96" s="68">
        <v>-28001</v>
      </c>
      <c r="Q96" s="68">
        <v>-211790</v>
      </c>
    </row>
    <row r="97" spans="1:17" ht="12" customHeight="1">
      <c r="A97" s="413">
        <v>16359</v>
      </c>
      <c r="B97" s="414" t="s">
        <v>86</v>
      </c>
      <c r="C97" s="84">
        <v>185841</v>
      </c>
      <c r="D97" s="84">
        <v>3142</v>
      </c>
      <c r="E97" s="84">
        <v>3974</v>
      </c>
      <c r="F97" s="84">
        <v>35764</v>
      </c>
      <c r="G97" s="84">
        <v>155039</v>
      </c>
      <c r="H97" s="84">
        <v>197919</v>
      </c>
      <c r="I97" s="84"/>
      <c r="J97" s="84">
        <v>33647</v>
      </c>
      <c r="K97" s="84">
        <v>175310</v>
      </c>
      <c r="L97" s="84">
        <v>6085</v>
      </c>
      <c r="M97" s="84">
        <v>215042</v>
      </c>
      <c r="N97" s="85"/>
      <c r="O97" s="85">
        <v>-50737</v>
      </c>
      <c r="P97" s="85">
        <v>38070</v>
      </c>
      <c r="Q97" s="85">
        <v>-12667</v>
      </c>
    </row>
    <row r="98" spans="1:17" ht="12" customHeight="1">
      <c r="A98" s="411">
        <v>17115</v>
      </c>
      <c r="B98" s="415" t="s">
        <v>87</v>
      </c>
      <c r="C98" s="67">
        <v>2401067</v>
      </c>
      <c r="D98" s="67">
        <v>40590</v>
      </c>
      <c r="E98" s="67">
        <v>51338</v>
      </c>
      <c r="F98" s="67">
        <v>462077</v>
      </c>
      <c r="G98" s="67">
        <v>676108</v>
      </c>
      <c r="H98" s="67">
        <v>1230113</v>
      </c>
      <c r="I98" s="67"/>
      <c r="J98" s="67">
        <v>434714</v>
      </c>
      <c r="K98" s="67">
        <v>2265011</v>
      </c>
      <c r="L98" s="67">
        <v>297583</v>
      </c>
      <c r="M98" s="67">
        <v>2997308</v>
      </c>
      <c r="N98" s="68"/>
      <c r="O98" s="68">
        <v>-655520</v>
      </c>
      <c r="P98" s="68">
        <v>138511</v>
      </c>
      <c r="Q98" s="68">
        <v>-517009</v>
      </c>
    </row>
    <row r="99" spans="1:17" ht="12" customHeight="1">
      <c r="A99" s="413">
        <v>32117</v>
      </c>
      <c r="B99" s="414" t="s">
        <v>88</v>
      </c>
      <c r="C99" s="84">
        <v>180102</v>
      </c>
      <c r="D99" s="84">
        <v>3045</v>
      </c>
      <c r="E99" s="84">
        <v>3851</v>
      </c>
      <c r="F99" s="84">
        <v>34660</v>
      </c>
      <c r="G99" s="84">
        <v>118760</v>
      </c>
      <c r="H99" s="84">
        <v>160316</v>
      </c>
      <c r="I99" s="84"/>
      <c r="J99" s="84">
        <v>32608</v>
      </c>
      <c r="K99" s="84">
        <v>169897</v>
      </c>
      <c r="L99" s="84">
        <v>808</v>
      </c>
      <c r="M99" s="84">
        <v>203313</v>
      </c>
      <c r="N99" s="85"/>
      <c r="O99" s="85">
        <v>-49170</v>
      </c>
      <c r="P99" s="85">
        <v>45517</v>
      </c>
      <c r="Q99" s="85">
        <v>-3653</v>
      </c>
    </row>
    <row r="100" spans="1:17" ht="12" customHeight="1">
      <c r="A100" s="411">
        <v>2304</v>
      </c>
      <c r="B100" s="415" t="s">
        <v>89</v>
      </c>
      <c r="C100" s="67">
        <v>736763</v>
      </c>
      <c r="D100" s="67">
        <v>12455</v>
      </c>
      <c r="E100" s="67">
        <v>15753</v>
      </c>
      <c r="F100" s="67">
        <v>141788</v>
      </c>
      <c r="G100" s="67">
        <v>368645</v>
      </c>
      <c r="H100" s="67">
        <v>538641</v>
      </c>
      <c r="I100" s="67"/>
      <c r="J100" s="67">
        <v>133391</v>
      </c>
      <c r="K100" s="67">
        <v>695015</v>
      </c>
      <c r="L100" s="67">
        <v>459721</v>
      </c>
      <c r="M100" s="67">
        <v>1288127</v>
      </c>
      <c r="N100" s="68"/>
      <c r="O100" s="68">
        <v>-201145</v>
      </c>
      <c r="P100" s="68">
        <v>7622</v>
      </c>
      <c r="Q100" s="68">
        <v>-193523</v>
      </c>
    </row>
    <row r="101" spans="1:17" ht="12" customHeight="1">
      <c r="A101" s="413">
        <v>11101</v>
      </c>
      <c r="B101" s="414" t="s">
        <v>91</v>
      </c>
      <c r="C101" s="84">
        <v>9382790</v>
      </c>
      <c r="D101" s="84">
        <v>158617</v>
      </c>
      <c r="E101" s="84">
        <v>200618</v>
      </c>
      <c r="F101" s="84">
        <v>1805686</v>
      </c>
      <c r="G101" s="84">
        <v>1732196</v>
      </c>
      <c r="H101" s="84">
        <v>3897117</v>
      </c>
      <c r="I101" s="84"/>
      <c r="J101" s="84">
        <v>1698758</v>
      </c>
      <c r="K101" s="84">
        <v>8851115</v>
      </c>
      <c r="L101" s="251">
        <v>5214382</v>
      </c>
      <c r="M101" s="84">
        <v>15764255</v>
      </c>
      <c r="N101" s="85"/>
      <c r="O101" s="85">
        <v>-2561613</v>
      </c>
      <c r="P101" s="85">
        <v>-1349309</v>
      </c>
      <c r="Q101" s="85">
        <v>-3910922</v>
      </c>
    </row>
    <row r="102" spans="1:17" ht="12" customHeight="1">
      <c r="A102" s="411">
        <v>11102</v>
      </c>
      <c r="B102" s="415" t="s">
        <v>90</v>
      </c>
      <c r="C102" s="67">
        <v>3549639</v>
      </c>
      <c r="D102" s="67">
        <v>60007</v>
      </c>
      <c r="E102" s="67">
        <v>75896</v>
      </c>
      <c r="F102" s="67">
        <v>683116</v>
      </c>
      <c r="G102" s="67">
        <v>276000</v>
      </c>
      <c r="H102" s="67">
        <v>1095019</v>
      </c>
      <c r="I102" s="67"/>
      <c r="J102" s="67">
        <v>642664</v>
      </c>
      <c r="K102" s="67">
        <v>3348499</v>
      </c>
      <c r="L102" s="250">
        <v>667552</v>
      </c>
      <c r="M102" s="67">
        <v>4658715</v>
      </c>
      <c r="N102" s="68"/>
      <c r="O102" s="68">
        <v>-969093</v>
      </c>
      <c r="P102" s="68">
        <v>-266970</v>
      </c>
      <c r="Q102" s="68">
        <v>-1236063</v>
      </c>
    </row>
    <row r="103" spans="1:17" ht="12" customHeight="1">
      <c r="A103" s="413">
        <v>3100</v>
      </c>
      <c r="B103" s="414" t="s">
        <v>92</v>
      </c>
      <c r="C103" s="84">
        <v>6795763</v>
      </c>
      <c r="D103" s="84">
        <v>114883</v>
      </c>
      <c r="E103" s="84">
        <v>145303</v>
      </c>
      <c r="F103" s="84">
        <v>1307821</v>
      </c>
      <c r="G103" s="84">
        <v>982932</v>
      </c>
      <c r="H103" s="84">
        <v>2550939</v>
      </c>
      <c r="I103" s="84"/>
      <c r="J103" s="84">
        <v>1230376</v>
      </c>
      <c r="K103" s="84">
        <v>6410681</v>
      </c>
      <c r="L103" s="251">
        <v>1858367</v>
      </c>
      <c r="M103" s="84">
        <v>9499424</v>
      </c>
      <c r="N103" s="85"/>
      <c r="O103" s="85">
        <v>-1855324</v>
      </c>
      <c r="P103" s="85">
        <v>12944</v>
      </c>
      <c r="Q103" s="85">
        <v>-1842380</v>
      </c>
    </row>
    <row r="104" spans="1:17" ht="12" customHeight="1">
      <c r="A104" s="411">
        <v>2323</v>
      </c>
      <c r="B104" s="415" t="s">
        <v>93</v>
      </c>
      <c r="C104" s="67">
        <v>790300</v>
      </c>
      <c r="D104" s="67">
        <v>13360</v>
      </c>
      <c r="E104" s="67">
        <v>16898</v>
      </c>
      <c r="F104" s="67">
        <v>152091</v>
      </c>
      <c r="G104" s="67">
        <v>184139</v>
      </c>
      <c r="H104" s="67">
        <v>366488</v>
      </c>
      <c r="I104" s="67"/>
      <c r="J104" s="67">
        <v>143084</v>
      </c>
      <c r="K104" s="67">
        <v>745518</v>
      </c>
      <c r="L104" s="250">
        <v>6644</v>
      </c>
      <c r="M104" s="67">
        <v>895246</v>
      </c>
      <c r="N104" s="68"/>
      <c r="O104" s="68">
        <v>-215761</v>
      </c>
      <c r="P104" s="68">
        <v>47860</v>
      </c>
      <c r="Q104" s="68">
        <v>-167901</v>
      </c>
    </row>
    <row r="105" spans="1:17" ht="12" customHeight="1">
      <c r="A105" s="413">
        <v>11034</v>
      </c>
      <c r="B105" s="414" t="s">
        <v>94</v>
      </c>
      <c r="C105" s="84">
        <v>555011</v>
      </c>
      <c r="D105" s="84">
        <v>9383</v>
      </c>
      <c r="E105" s="84">
        <v>11867</v>
      </c>
      <c r="F105" s="84">
        <v>106810</v>
      </c>
      <c r="G105" s="84">
        <v>155136</v>
      </c>
      <c r="H105" s="84">
        <v>283196</v>
      </c>
      <c r="I105" s="84"/>
      <c r="J105" s="84">
        <v>100485</v>
      </c>
      <c r="K105" s="84">
        <v>523561</v>
      </c>
      <c r="L105" s="251">
        <v>53467</v>
      </c>
      <c r="M105" s="84">
        <v>677513</v>
      </c>
      <c r="N105" s="85"/>
      <c r="O105" s="85">
        <v>-151524</v>
      </c>
      <c r="P105" s="85">
        <v>64623</v>
      </c>
      <c r="Q105" s="85">
        <v>-86901</v>
      </c>
    </row>
    <row r="106" spans="1:17" ht="12" customHeight="1">
      <c r="A106" s="411">
        <v>17054</v>
      </c>
      <c r="B106" s="412" t="s">
        <v>95</v>
      </c>
      <c r="C106" s="154">
        <v>7503238</v>
      </c>
      <c r="D106" s="154">
        <v>126843</v>
      </c>
      <c r="E106" s="154">
        <v>160430</v>
      </c>
      <c r="F106" s="154">
        <v>1443972</v>
      </c>
      <c r="G106" s="154">
        <v>193112</v>
      </c>
      <c r="H106" s="154">
        <v>1924357</v>
      </c>
      <c r="I106" s="154"/>
      <c r="J106" s="154">
        <v>1358464</v>
      </c>
      <c r="K106" s="154">
        <v>7078067</v>
      </c>
      <c r="L106" s="156">
        <v>1384474</v>
      </c>
      <c r="M106" s="154">
        <v>9821005</v>
      </c>
      <c r="N106" s="155"/>
      <c r="O106" s="155">
        <v>-2048473</v>
      </c>
      <c r="P106" s="155">
        <v>561907</v>
      </c>
      <c r="Q106" s="155">
        <v>-1486566</v>
      </c>
    </row>
    <row r="107" spans="1:17" ht="12" customHeight="1">
      <c r="A107" s="413">
        <v>22065</v>
      </c>
      <c r="B107" s="414" t="s">
        <v>96</v>
      </c>
      <c r="C107" s="84">
        <v>1721379</v>
      </c>
      <c r="D107" s="84">
        <v>29100</v>
      </c>
      <c r="E107" s="84">
        <v>36806</v>
      </c>
      <c r="F107" s="84">
        <v>331273</v>
      </c>
      <c r="G107" s="84">
        <v>182099</v>
      </c>
      <c r="H107" s="84">
        <v>579278</v>
      </c>
      <c r="I107" s="84"/>
      <c r="J107" s="84">
        <v>311656</v>
      </c>
      <c r="K107" s="84">
        <v>1623837</v>
      </c>
      <c r="L107" s="84">
        <v>128272</v>
      </c>
      <c r="M107" s="84">
        <v>2063765</v>
      </c>
      <c r="N107" s="85"/>
      <c r="O107" s="85">
        <v>-469957</v>
      </c>
      <c r="P107" s="85">
        <v>31228</v>
      </c>
      <c r="Q107" s="85">
        <v>-438729</v>
      </c>
    </row>
    <row r="108" spans="1:17" ht="12" customHeight="1">
      <c r="A108" s="411">
        <v>22201</v>
      </c>
      <c r="B108" s="415" t="s">
        <v>97</v>
      </c>
      <c r="C108" s="67">
        <v>967533</v>
      </c>
      <c r="D108" s="67">
        <v>16356</v>
      </c>
      <c r="E108" s="67">
        <v>20687</v>
      </c>
      <c r="F108" s="67">
        <v>186198</v>
      </c>
      <c r="G108" s="67">
        <v>312996</v>
      </c>
      <c r="H108" s="67">
        <v>536237</v>
      </c>
      <c r="I108" s="67"/>
      <c r="J108" s="67">
        <v>175172</v>
      </c>
      <c r="K108" s="67">
        <v>912708</v>
      </c>
      <c r="L108" s="67">
        <v>29685</v>
      </c>
      <c r="M108" s="67">
        <v>1117565</v>
      </c>
      <c r="N108" s="68"/>
      <c r="O108" s="68">
        <v>-264148</v>
      </c>
      <c r="P108" s="68">
        <v>158727</v>
      </c>
      <c r="Q108" s="68">
        <v>-105421</v>
      </c>
    </row>
    <row r="109" spans="1:17" ht="12" customHeight="1">
      <c r="A109" s="413">
        <v>6016</v>
      </c>
      <c r="B109" s="414" t="s">
        <v>98</v>
      </c>
      <c r="C109" s="84">
        <v>1821748</v>
      </c>
      <c r="D109" s="84">
        <v>30797</v>
      </c>
      <c r="E109" s="84">
        <v>38952</v>
      </c>
      <c r="F109" s="84">
        <v>350589</v>
      </c>
      <c r="G109" s="84">
        <v>360887</v>
      </c>
      <c r="H109" s="84">
        <v>781225</v>
      </c>
      <c r="I109" s="84"/>
      <c r="J109" s="84">
        <v>329828</v>
      </c>
      <c r="K109" s="84">
        <v>1718519</v>
      </c>
      <c r="L109" s="251">
        <v>184941</v>
      </c>
      <c r="M109" s="84">
        <v>2233288</v>
      </c>
      <c r="N109" s="85"/>
      <c r="O109" s="85">
        <v>-497359</v>
      </c>
      <c r="P109" s="85">
        <v>94851</v>
      </c>
      <c r="Q109" s="85">
        <v>-402508</v>
      </c>
    </row>
    <row r="110" spans="1:17" ht="12" customHeight="1">
      <c r="A110" s="411">
        <v>2432</v>
      </c>
      <c r="B110" s="415" t="s">
        <v>99</v>
      </c>
      <c r="C110" s="67">
        <v>2870695</v>
      </c>
      <c r="D110" s="67">
        <v>48529</v>
      </c>
      <c r="E110" s="67">
        <v>61380</v>
      </c>
      <c r="F110" s="67">
        <v>552455</v>
      </c>
      <c r="G110" s="67">
        <v>3573249</v>
      </c>
      <c r="H110" s="67">
        <v>4235613</v>
      </c>
      <c r="I110" s="67"/>
      <c r="J110" s="67">
        <v>519741</v>
      </c>
      <c r="K110" s="67">
        <v>2708027</v>
      </c>
      <c r="L110" s="250">
        <v>0</v>
      </c>
      <c r="M110" s="67">
        <v>3227768</v>
      </c>
      <c r="N110" s="68"/>
      <c r="O110" s="68">
        <v>-783734</v>
      </c>
      <c r="P110" s="68">
        <v>1011544</v>
      </c>
      <c r="Q110" s="68">
        <v>227810</v>
      </c>
    </row>
    <row r="111" spans="1:17" ht="12" customHeight="1">
      <c r="A111" s="413">
        <v>7440</v>
      </c>
      <c r="B111" s="414" t="s">
        <v>447</v>
      </c>
      <c r="C111" s="84">
        <v>405476</v>
      </c>
      <c r="D111" s="84">
        <v>6855</v>
      </c>
      <c r="E111" s="84">
        <v>8670</v>
      </c>
      <c r="F111" s="84">
        <v>78032</v>
      </c>
      <c r="G111" s="84">
        <v>722144</v>
      </c>
      <c r="H111" s="84">
        <v>815701</v>
      </c>
      <c r="I111" s="84"/>
      <c r="J111" s="84">
        <v>73412</v>
      </c>
      <c r="K111" s="84">
        <v>382499</v>
      </c>
      <c r="L111" s="84">
        <v>0</v>
      </c>
      <c r="M111" s="84">
        <v>455911</v>
      </c>
      <c r="N111" s="85"/>
      <c r="O111" s="85">
        <v>-110700</v>
      </c>
      <c r="P111" s="85">
        <v>165526</v>
      </c>
      <c r="Q111" s="85">
        <v>54826</v>
      </c>
    </row>
    <row r="112" spans="1:17" ht="12" customHeight="1">
      <c r="A112" s="411">
        <v>16052</v>
      </c>
      <c r="B112" s="415" t="s">
        <v>100</v>
      </c>
      <c r="C112" s="67">
        <v>23499073</v>
      </c>
      <c r="D112" s="67">
        <v>397254</v>
      </c>
      <c r="E112" s="67">
        <v>502444</v>
      </c>
      <c r="F112" s="67">
        <v>4522315</v>
      </c>
      <c r="G112" s="67">
        <v>3323360</v>
      </c>
      <c r="H112" s="67">
        <v>8745373</v>
      </c>
      <c r="I112" s="67"/>
      <c r="J112" s="67">
        <v>4254517</v>
      </c>
      <c r="K112" s="67">
        <v>22167498</v>
      </c>
      <c r="L112" s="67">
        <v>850109</v>
      </c>
      <c r="M112" s="67">
        <v>27272124</v>
      </c>
      <c r="N112" s="68"/>
      <c r="O112" s="68">
        <v>-6415524</v>
      </c>
      <c r="P112" s="68">
        <v>952557</v>
      </c>
      <c r="Q112" s="68">
        <v>-5462967</v>
      </c>
    </row>
    <row r="113" spans="1:17" ht="12" customHeight="1">
      <c r="A113" s="413">
        <v>11118</v>
      </c>
      <c r="B113" s="414" t="s">
        <v>101</v>
      </c>
      <c r="C113" s="84">
        <v>618985</v>
      </c>
      <c r="D113" s="84">
        <v>10464</v>
      </c>
      <c r="E113" s="84">
        <v>13235</v>
      </c>
      <c r="F113" s="84">
        <v>119121</v>
      </c>
      <c r="G113" s="84">
        <v>43180</v>
      </c>
      <c r="H113" s="84">
        <v>186000</v>
      </c>
      <c r="I113" s="84"/>
      <c r="J113" s="84">
        <v>112067</v>
      </c>
      <c r="K113" s="84">
        <v>583910</v>
      </c>
      <c r="L113" s="84">
        <v>126133</v>
      </c>
      <c r="M113" s="84">
        <v>822110</v>
      </c>
      <c r="N113" s="85"/>
      <c r="O113" s="85">
        <v>-168990</v>
      </c>
      <c r="P113" s="85">
        <v>-27831</v>
      </c>
      <c r="Q113" s="85">
        <v>-196821</v>
      </c>
    </row>
    <row r="114" spans="1:17" ht="12" customHeight="1">
      <c r="A114" s="411">
        <v>27083</v>
      </c>
      <c r="B114" s="415" t="s">
        <v>102</v>
      </c>
      <c r="C114" s="67">
        <v>915810</v>
      </c>
      <c r="D114" s="67">
        <v>15482</v>
      </c>
      <c r="E114" s="67">
        <v>19581</v>
      </c>
      <c r="F114" s="67">
        <v>176244</v>
      </c>
      <c r="G114" s="67">
        <v>66841</v>
      </c>
      <c r="H114" s="67">
        <v>278148</v>
      </c>
      <c r="I114" s="67"/>
      <c r="J114" s="67">
        <v>165808</v>
      </c>
      <c r="K114" s="67">
        <v>863916</v>
      </c>
      <c r="L114" s="67">
        <v>80133</v>
      </c>
      <c r="M114" s="67">
        <v>1109857</v>
      </c>
      <c r="N114" s="68"/>
      <c r="O114" s="68">
        <v>-250027</v>
      </c>
      <c r="P114" s="68">
        <v>7331</v>
      </c>
      <c r="Q114" s="68">
        <v>-242696</v>
      </c>
    </row>
    <row r="115" spans="1:17" ht="12" customHeight="1">
      <c r="A115" s="413">
        <v>7021</v>
      </c>
      <c r="B115" s="414" t="s">
        <v>103</v>
      </c>
      <c r="C115" s="84">
        <v>30362482</v>
      </c>
      <c r="D115" s="84">
        <v>513280</v>
      </c>
      <c r="E115" s="84">
        <v>649194</v>
      </c>
      <c r="F115" s="84">
        <v>5843155</v>
      </c>
      <c r="G115" s="84">
        <v>2044629</v>
      </c>
      <c r="H115" s="84">
        <v>9050258</v>
      </c>
      <c r="I115" s="84"/>
      <c r="J115" s="84">
        <v>5497140</v>
      </c>
      <c r="K115" s="84">
        <v>28641993</v>
      </c>
      <c r="L115" s="251">
        <v>1429794</v>
      </c>
      <c r="M115" s="84">
        <v>35568927</v>
      </c>
      <c r="N115" s="85"/>
      <c r="O115" s="85">
        <v>-8289316</v>
      </c>
      <c r="P115" s="85">
        <v>92945</v>
      </c>
      <c r="Q115" s="85">
        <v>-8196371</v>
      </c>
    </row>
    <row r="116" spans="1:17" ht="12" customHeight="1">
      <c r="A116" s="411">
        <v>4140</v>
      </c>
      <c r="B116" s="415" t="s">
        <v>104</v>
      </c>
      <c r="C116" s="67">
        <v>216497</v>
      </c>
      <c r="D116" s="67">
        <v>3660</v>
      </c>
      <c r="E116" s="67">
        <v>4629</v>
      </c>
      <c r="F116" s="67">
        <v>41664</v>
      </c>
      <c r="G116" s="67">
        <v>78870</v>
      </c>
      <c r="H116" s="67">
        <v>128823</v>
      </c>
      <c r="I116" s="67"/>
      <c r="J116" s="67">
        <v>39197</v>
      </c>
      <c r="K116" s="67">
        <v>204230</v>
      </c>
      <c r="L116" s="250">
        <v>26302</v>
      </c>
      <c r="M116" s="67">
        <v>269729</v>
      </c>
      <c r="N116" s="68"/>
      <c r="O116" s="68">
        <v>-59106</v>
      </c>
      <c r="P116" s="68">
        <v>7907</v>
      </c>
      <c r="Q116" s="68">
        <v>-51199</v>
      </c>
    </row>
    <row r="117" spans="1:17" ht="12" customHeight="1">
      <c r="A117" s="413">
        <v>13041</v>
      </c>
      <c r="B117" s="414" t="s">
        <v>105</v>
      </c>
      <c r="C117" s="84">
        <v>27747311</v>
      </c>
      <c r="D117" s="84">
        <v>469071</v>
      </c>
      <c r="E117" s="84">
        <v>593278</v>
      </c>
      <c r="F117" s="84">
        <v>5339874</v>
      </c>
      <c r="G117" s="84">
        <v>1873427</v>
      </c>
      <c r="H117" s="84">
        <v>8275650</v>
      </c>
      <c r="I117" s="84"/>
      <c r="J117" s="84">
        <v>5023662</v>
      </c>
      <c r="K117" s="84">
        <v>26175010</v>
      </c>
      <c r="L117" s="251">
        <v>3293530</v>
      </c>
      <c r="M117" s="84">
        <v>34492202</v>
      </c>
      <c r="N117" s="85"/>
      <c r="O117" s="85">
        <v>-7575344</v>
      </c>
      <c r="P117" s="85">
        <v>-80145</v>
      </c>
      <c r="Q117" s="85">
        <v>-7655489</v>
      </c>
    </row>
    <row r="118" spans="1:17" ht="12" customHeight="1">
      <c r="A118" s="411">
        <v>2339</v>
      </c>
      <c r="B118" s="415" t="s">
        <v>106</v>
      </c>
      <c r="C118" s="67">
        <v>435864</v>
      </c>
      <c r="D118" s="67">
        <v>7368</v>
      </c>
      <c r="E118" s="67">
        <v>9319</v>
      </c>
      <c r="F118" s="67">
        <v>83881</v>
      </c>
      <c r="G118" s="67">
        <v>167908</v>
      </c>
      <c r="H118" s="67">
        <v>268476</v>
      </c>
      <c r="I118" s="67"/>
      <c r="J118" s="67">
        <v>78913</v>
      </c>
      <c r="K118" s="67">
        <v>411166</v>
      </c>
      <c r="L118" s="250">
        <v>97539</v>
      </c>
      <c r="M118" s="67">
        <v>587618</v>
      </c>
      <c r="N118" s="68"/>
      <c r="O118" s="68">
        <v>-118996</v>
      </c>
      <c r="P118" s="68">
        <v>-16114</v>
      </c>
      <c r="Q118" s="68">
        <v>-135110</v>
      </c>
    </row>
    <row r="119" spans="1:17" ht="12" customHeight="1">
      <c r="A119" s="413">
        <v>2362</v>
      </c>
      <c r="B119" s="414" t="s">
        <v>107</v>
      </c>
      <c r="C119" s="84">
        <v>433753</v>
      </c>
      <c r="D119" s="84">
        <v>7333</v>
      </c>
      <c r="E119" s="84">
        <v>9274</v>
      </c>
      <c r="F119" s="84">
        <v>83474</v>
      </c>
      <c r="G119" s="84">
        <v>65118</v>
      </c>
      <c r="H119" s="84">
        <v>165199</v>
      </c>
      <c r="I119" s="84"/>
      <c r="J119" s="84">
        <v>78531</v>
      </c>
      <c r="K119" s="84">
        <v>409175</v>
      </c>
      <c r="L119" s="251">
        <v>558171</v>
      </c>
      <c r="M119" s="84">
        <v>1045877</v>
      </c>
      <c r="N119" s="85"/>
      <c r="O119" s="85">
        <v>-118420</v>
      </c>
      <c r="P119" s="85">
        <v>-102738</v>
      </c>
      <c r="Q119" s="85">
        <v>-221158</v>
      </c>
    </row>
    <row r="120" spans="1:17" ht="12" customHeight="1">
      <c r="A120" s="411">
        <v>5013</v>
      </c>
      <c r="B120" s="415" t="s">
        <v>108</v>
      </c>
      <c r="C120" s="67">
        <v>512089</v>
      </c>
      <c r="D120" s="67">
        <v>8657</v>
      </c>
      <c r="E120" s="67">
        <v>10949</v>
      </c>
      <c r="F120" s="67">
        <v>98550</v>
      </c>
      <c r="G120" s="67">
        <v>64443</v>
      </c>
      <c r="H120" s="67">
        <v>182599</v>
      </c>
      <c r="I120" s="67"/>
      <c r="J120" s="67">
        <v>92714</v>
      </c>
      <c r="K120" s="67">
        <v>483071</v>
      </c>
      <c r="L120" s="67">
        <v>13718</v>
      </c>
      <c r="M120" s="67">
        <v>589503</v>
      </c>
      <c r="N120" s="68"/>
      <c r="O120" s="68">
        <v>-139806</v>
      </c>
      <c r="P120" s="68">
        <v>12091</v>
      </c>
      <c r="Q120" s="68">
        <v>-127715</v>
      </c>
    </row>
    <row r="121" spans="1:17" ht="12" customHeight="1">
      <c r="A121" s="413">
        <v>3110</v>
      </c>
      <c r="B121" s="414" t="s">
        <v>109</v>
      </c>
      <c r="C121" s="84">
        <v>2083680</v>
      </c>
      <c r="D121" s="84">
        <v>35225</v>
      </c>
      <c r="E121" s="84">
        <v>44552</v>
      </c>
      <c r="F121" s="84">
        <v>400997</v>
      </c>
      <c r="G121" s="84">
        <v>10377</v>
      </c>
      <c r="H121" s="84">
        <v>491151</v>
      </c>
      <c r="I121" s="84"/>
      <c r="J121" s="84">
        <v>377251</v>
      </c>
      <c r="K121" s="84">
        <v>1965609</v>
      </c>
      <c r="L121" s="251">
        <v>946272</v>
      </c>
      <c r="M121" s="84">
        <v>3289132</v>
      </c>
      <c r="N121" s="85"/>
      <c r="O121" s="85">
        <v>-568869</v>
      </c>
      <c r="P121" s="85">
        <v>-327143</v>
      </c>
      <c r="Q121" s="85">
        <v>-896012</v>
      </c>
    </row>
    <row r="122" spans="1:17" ht="12" customHeight="1">
      <c r="A122" s="411">
        <v>14044</v>
      </c>
      <c r="B122" s="415" t="s">
        <v>110</v>
      </c>
      <c r="C122" s="67">
        <v>8213002</v>
      </c>
      <c r="D122" s="67">
        <v>138841</v>
      </c>
      <c r="E122" s="67">
        <v>175606</v>
      </c>
      <c r="F122" s="67">
        <v>1580564</v>
      </c>
      <c r="G122" s="67">
        <v>1425377</v>
      </c>
      <c r="H122" s="67">
        <v>3320388</v>
      </c>
      <c r="I122" s="67"/>
      <c r="J122" s="67">
        <v>1486968</v>
      </c>
      <c r="K122" s="67">
        <v>7747613</v>
      </c>
      <c r="L122" s="250">
        <v>943062</v>
      </c>
      <c r="M122" s="67">
        <v>10177643</v>
      </c>
      <c r="N122" s="68"/>
      <c r="O122" s="68">
        <v>-2242247</v>
      </c>
      <c r="P122" s="68">
        <v>19068</v>
      </c>
      <c r="Q122" s="68">
        <v>-2223179</v>
      </c>
    </row>
    <row r="123" spans="1:17" ht="12" customHeight="1">
      <c r="A123" s="413">
        <v>4009</v>
      </c>
      <c r="B123" s="414" t="s">
        <v>111</v>
      </c>
      <c r="C123" s="84">
        <v>961661</v>
      </c>
      <c r="D123" s="84">
        <v>16257</v>
      </c>
      <c r="E123" s="84">
        <v>20562</v>
      </c>
      <c r="F123" s="84">
        <v>185068</v>
      </c>
      <c r="G123" s="84">
        <v>0</v>
      </c>
      <c r="H123" s="84">
        <v>221887</v>
      </c>
      <c r="I123" s="84"/>
      <c r="J123" s="84">
        <v>174109</v>
      </c>
      <c r="K123" s="84">
        <v>907168</v>
      </c>
      <c r="L123" s="84">
        <v>319148</v>
      </c>
      <c r="M123" s="84">
        <v>1400425</v>
      </c>
      <c r="N123" s="85"/>
      <c r="O123" s="85">
        <v>-262545</v>
      </c>
      <c r="P123" s="85">
        <v>-116636</v>
      </c>
      <c r="Q123" s="85">
        <v>-379181</v>
      </c>
    </row>
    <row r="124" spans="1:17" ht="12" customHeight="1">
      <c r="A124" s="411">
        <v>7022</v>
      </c>
      <c r="B124" s="415" t="s">
        <v>112</v>
      </c>
      <c r="C124" s="67">
        <v>3298486</v>
      </c>
      <c r="D124" s="67">
        <v>55761</v>
      </c>
      <c r="E124" s="67">
        <v>70526</v>
      </c>
      <c r="F124" s="67">
        <v>634782</v>
      </c>
      <c r="G124" s="67">
        <v>911866</v>
      </c>
      <c r="H124" s="67">
        <v>1672935</v>
      </c>
      <c r="I124" s="67"/>
      <c r="J124" s="67">
        <v>597192</v>
      </c>
      <c r="K124" s="67">
        <v>3111578</v>
      </c>
      <c r="L124" s="67">
        <v>54544</v>
      </c>
      <c r="M124" s="67">
        <v>3763314</v>
      </c>
      <c r="N124" s="68"/>
      <c r="O124" s="68">
        <v>-900526</v>
      </c>
      <c r="P124" s="68">
        <v>215950</v>
      </c>
      <c r="Q124" s="68">
        <v>-684576</v>
      </c>
    </row>
    <row r="125" spans="1:17" ht="12" customHeight="1">
      <c r="A125" s="413">
        <v>2430</v>
      </c>
      <c r="B125" s="414" t="s">
        <v>113</v>
      </c>
      <c r="C125" s="84">
        <v>434482</v>
      </c>
      <c r="D125" s="84">
        <v>7345</v>
      </c>
      <c r="E125" s="84">
        <v>9290</v>
      </c>
      <c r="F125" s="84">
        <v>83614</v>
      </c>
      <c r="G125" s="84">
        <v>4286</v>
      </c>
      <c r="H125" s="84">
        <v>104535</v>
      </c>
      <c r="I125" s="84"/>
      <c r="J125" s="84">
        <v>78663</v>
      </c>
      <c r="K125" s="84">
        <v>409862</v>
      </c>
      <c r="L125" s="84">
        <v>118350</v>
      </c>
      <c r="M125" s="84">
        <v>606875</v>
      </c>
      <c r="N125" s="85"/>
      <c r="O125" s="85">
        <v>-118619</v>
      </c>
      <c r="P125" s="85">
        <v>-34541</v>
      </c>
      <c r="Q125" s="85">
        <v>-153160</v>
      </c>
    </row>
    <row r="126" spans="1:17" ht="12" customHeight="1">
      <c r="A126" s="411">
        <v>9150</v>
      </c>
      <c r="B126" s="415" t="s">
        <v>114</v>
      </c>
      <c r="C126" s="67">
        <v>198226</v>
      </c>
      <c r="D126" s="67">
        <v>3351</v>
      </c>
      <c r="E126" s="67">
        <v>4238</v>
      </c>
      <c r="F126" s="67">
        <v>38148</v>
      </c>
      <c r="G126" s="67">
        <v>0</v>
      </c>
      <c r="H126" s="67">
        <v>45737</v>
      </c>
      <c r="I126" s="67"/>
      <c r="J126" s="67">
        <v>35889</v>
      </c>
      <c r="K126" s="67">
        <v>186993</v>
      </c>
      <c r="L126" s="67">
        <v>354601</v>
      </c>
      <c r="M126" s="67">
        <v>577483</v>
      </c>
      <c r="N126" s="68"/>
      <c r="O126" s="68">
        <v>-54118</v>
      </c>
      <c r="P126" s="68">
        <v>-486158</v>
      </c>
      <c r="Q126" s="68">
        <v>-540276</v>
      </c>
    </row>
    <row r="127" spans="1:17" ht="12" customHeight="1">
      <c r="A127" s="413">
        <v>6017</v>
      </c>
      <c r="B127" s="414" t="s">
        <v>115</v>
      </c>
      <c r="C127" s="84">
        <v>22338071</v>
      </c>
      <c r="D127" s="84">
        <v>377627</v>
      </c>
      <c r="E127" s="84">
        <v>477620</v>
      </c>
      <c r="F127" s="84">
        <v>4298884</v>
      </c>
      <c r="G127" s="84">
        <v>5019013</v>
      </c>
      <c r="H127" s="84">
        <v>10173144</v>
      </c>
      <c r="I127" s="84"/>
      <c r="J127" s="84">
        <v>4044317</v>
      </c>
      <c r="K127" s="84">
        <v>21072285</v>
      </c>
      <c r="L127" s="251">
        <v>531442</v>
      </c>
      <c r="M127" s="84">
        <v>25648044</v>
      </c>
      <c r="N127" s="85"/>
      <c r="O127" s="85">
        <v>-6098557</v>
      </c>
      <c r="P127" s="85">
        <v>1054970</v>
      </c>
      <c r="Q127" s="85">
        <v>-5043587</v>
      </c>
    </row>
    <row r="128" spans="1:17" ht="12" customHeight="1">
      <c r="A128" s="411">
        <v>26080</v>
      </c>
      <c r="B128" s="415" t="s">
        <v>116</v>
      </c>
      <c r="C128" s="67">
        <v>636796</v>
      </c>
      <c r="D128" s="67">
        <v>10765</v>
      </c>
      <c r="E128" s="67">
        <v>13616</v>
      </c>
      <c r="F128" s="67">
        <v>122549</v>
      </c>
      <c r="G128" s="67">
        <v>217618</v>
      </c>
      <c r="H128" s="67">
        <v>364548</v>
      </c>
      <c r="I128" s="67"/>
      <c r="J128" s="67">
        <v>115292</v>
      </c>
      <c r="K128" s="67">
        <v>600712</v>
      </c>
      <c r="L128" s="250">
        <v>90789</v>
      </c>
      <c r="M128" s="67">
        <v>806793</v>
      </c>
      <c r="N128" s="68"/>
      <c r="O128" s="68">
        <v>-173853</v>
      </c>
      <c r="P128" s="68">
        <v>48711</v>
      </c>
      <c r="Q128" s="68">
        <v>-125142</v>
      </c>
    </row>
    <row r="129" spans="1:17" ht="12" customHeight="1">
      <c r="A129" s="413">
        <v>2327</v>
      </c>
      <c r="B129" s="414" t="s">
        <v>117</v>
      </c>
      <c r="C129" s="84">
        <v>775760</v>
      </c>
      <c r="D129" s="84">
        <v>13114</v>
      </c>
      <c r="E129" s="84">
        <v>16587</v>
      </c>
      <c r="F129" s="84">
        <v>149292</v>
      </c>
      <c r="G129" s="84">
        <v>117316</v>
      </c>
      <c r="H129" s="84">
        <v>296309</v>
      </c>
      <c r="I129" s="84"/>
      <c r="J129" s="84">
        <v>140452</v>
      </c>
      <c r="K129" s="84">
        <v>731802</v>
      </c>
      <c r="L129" s="251">
        <v>106270</v>
      </c>
      <c r="M129" s="84">
        <v>978524</v>
      </c>
      <c r="N129" s="85"/>
      <c r="O129" s="85">
        <v>-211792</v>
      </c>
      <c r="P129" s="85">
        <v>11865</v>
      </c>
      <c r="Q129" s="85">
        <v>-199927</v>
      </c>
    </row>
    <row r="130" spans="1:17" ht="12" customHeight="1">
      <c r="A130" s="411">
        <v>10119</v>
      </c>
      <c r="B130" s="415" t="s">
        <v>118</v>
      </c>
      <c r="C130" s="67">
        <v>408404</v>
      </c>
      <c r="D130" s="67">
        <v>6904</v>
      </c>
      <c r="E130" s="67">
        <v>8732</v>
      </c>
      <c r="F130" s="67">
        <v>78596</v>
      </c>
      <c r="G130" s="67">
        <v>77747</v>
      </c>
      <c r="H130" s="67">
        <v>171979</v>
      </c>
      <c r="I130" s="67"/>
      <c r="J130" s="67">
        <v>73942</v>
      </c>
      <c r="K130" s="67">
        <v>385262</v>
      </c>
      <c r="L130" s="250">
        <v>91626</v>
      </c>
      <c r="M130" s="67">
        <v>550830</v>
      </c>
      <c r="N130" s="68"/>
      <c r="O130" s="68">
        <v>-111499</v>
      </c>
      <c r="P130" s="68">
        <v>-39647</v>
      </c>
      <c r="Q130" s="68">
        <v>-151146</v>
      </c>
    </row>
    <row r="131" spans="1:17" ht="12" customHeight="1">
      <c r="A131" s="413">
        <v>573</v>
      </c>
      <c r="B131" s="414" t="s">
        <v>399</v>
      </c>
      <c r="C131" s="84">
        <v>1324631</v>
      </c>
      <c r="D131" s="84">
        <v>22393</v>
      </c>
      <c r="E131" s="84">
        <v>28323</v>
      </c>
      <c r="F131" s="84">
        <v>254921</v>
      </c>
      <c r="G131" s="84">
        <v>1769470</v>
      </c>
      <c r="H131" s="84">
        <v>2075107</v>
      </c>
      <c r="I131" s="84"/>
      <c r="J131" s="84">
        <v>239825</v>
      </c>
      <c r="K131" s="84">
        <v>1249571</v>
      </c>
      <c r="L131" s="251">
        <v>0</v>
      </c>
      <c r="M131" s="84">
        <v>1489396</v>
      </c>
      <c r="N131" s="85"/>
      <c r="O131" s="85">
        <v>-361640</v>
      </c>
      <c r="P131" s="85">
        <v>613085</v>
      </c>
      <c r="Q131" s="85">
        <v>251445</v>
      </c>
    </row>
    <row r="132" spans="1:17" ht="12" customHeight="1">
      <c r="A132" s="411">
        <v>2368</v>
      </c>
      <c r="B132" s="415" t="s">
        <v>119</v>
      </c>
      <c r="C132" s="67">
        <v>807323</v>
      </c>
      <c r="D132" s="67">
        <v>13648</v>
      </c>
      <c r="E132" s="67">
        <v>17262</v>
      </c>
      <c r="F132" s="67">
        <v>155367</v>
      </c>
      <c r="G132" s="67">
        <v>481723</v>
      </c>
      <c r="H132" s="67">
        <v>668000</v>
      </c>
      <c r="I132" s="67"/>
      <c r="J132" s="67">
        <v>146166</v>
      </c>
      <c r="K132" s="67">
        <v>761577</v>
      </c>
      <c r="L132" s="67">
        <v>263127</v>
      </c>
      <c r="M132" s="67">
        <v>1170870</v>
      </c>
      <c r="N132" s="68"/>
      <c r="O132" s="68">
        <v>-220409</v>
      </c>
      <c r="P132" s="68">
        <v>73963</v>
      </c>
      <c r="Q132" s="68">
        <v>-146446</v>
      </c>
    </row>
    <row r="133" spans="1:17" ht="12" customHeight="1">
      <c r="A133" s="413">
        <v>7420</v>
      </c>
      <c r="B133" s="414" t="s">
        <v>120</v>
      </c>
      <c r="C133" s="84">
        <v>450033</v>
      </c>
      <c r="D133" s="84">
        <v>7608</v>
      </c>
      <c r="E133" s="84">
        <v>9622</v>
      </c>
      <c r="F133" s="84">
        <v>86607</v>
      </c>
      <c r="G133" s="84">
        <v>130400</v>
      </c>
      <c r="H133" s="84">
        <v>234237</v>
      </c>
      <c r="I133" s="84"/>
      <c r="J133" s="84">
        <v>81479</v>
      </c>
      <c r="K133" s="84">
        <v>424532</v>
      </c>
      <c r="L133" s="251">
        <v>6291</v>
      </c>
      <c r="M133" s="84">
        <v>512302</v>
      </c>
      <c r="N133" s="85"/>
      <c r="O133" s="85">
        <v>-122864</v>
      </c>
      <c r="P133" s="85">
        <v>71956</v>
      </c>
      <c r="Q133" s="85">
        <v>-50908</v>
      </c>
    </row>
    <row r="134" spans="1:17" ht="12" customHeight="1">
      <c r="A134" s="411">
        <v>6018</v>
      </c>
      <c r="B134" s="415" t="s">
        <v>121</v>
      </c>
      <c r="C134" s="67">
        <v>1456994</v>
      </c>
      <c r="D134" s="67">
        <v>24631</v>
      </c>
      <c r="E134" s="67">
        <v>31153</v>
      </c>
      <c r="F134" s="67">
        <v>280394</v>
      </c>
      <c r="G134" s="67">
        <v>525464</v>
      </c>
      <c r="H134" s="67">
        <v>861642</v>
      </c>
      <c r="I134" s="67"/>
      <c r="J134" s="67">
        <v>263789</v>
      </c>
      <c r="K134" s="67">
        <v>1374434</v>
      </c>
      <c r="L134" s="250">
        <v>14939</v>
      </c>
      <c r="M134" s="67">
        <v>1653162</v>
      </c>
      <c r="N134" s="68"/>
      <c r="O134" s="68">
        <v>-397777</v>
      </c>
      <c r="P134" s="68">
        <v>134247</v>
      </c>
      <c r="Q134" s="68">
        <v>-263530</v>
      </c>
    </row>
    <row r="135" spans="1:17" ht="12" customHeight="1">
      <c r="A135" s="413">
        <v>3321</v>
      </c>
      <c r="B135" s="414" t="s">
        <v>122</v>
      </c>
      <c r="C135" s="84">
        <v>578293</v>
      </c>
      <c r="D135" s="84">
        <v>9776</v>
      </c>
      <c r="E135" s="84">
        <v>12365</v>
      </c>
      <c r="F135" s="84">
        <v>111290</v>
      </c>
      <c r="G135" s="84">
        <v>242315</v>
      </c>
      <c r="H135" s="84">
        <v>375746</v>
      </c>
      <c r="I135" s="84"/>
      <c r="J135" s="84">
        <v>104700</v>
      </c>
      <c r="K135" s="84">
        <v>545524</v>
      </c>
      <c r="L135" s="84">
        <v>76493</v>
      </c>
      <c r="M135" s="84">
        <v>726717</v>
      </c>
      <c r="N135" s="85"/>
      <c r="O135" s="85">
        <v>-157881</v>
      </c>
      <c r="P135" s="85">
        <v>48560</v>
      </c>
      <c r="Q135" s="85">
        <v>-109321</v>
      </c>
    </row>
    <row r="136" spans="1:17" ht="12" customHeight="1">
      <c r="A136" s="411">
        <v>29122</v>
      </c>
      <c r="B136" s="415" t="s">
        <v>123</v>
      </c>
      <c r="C136" s="67">
        <v>814177</v>
      </c>
      <c r="D136" s="67">
        <v>13764</v>
      </c>
      <c r="E136" s="67">
        <v>17408</v>
      </c>
      <c r="F136" s="67">
        <v>156686</v>
      </c>
      <c r="G136" s="67">
        <v>371255</v>
      </c>
      <c r="H136" s="67">
        <v>559113</v>
      </c>
      <c r="I136" s="67"/>
      <c r="J136" s="67">
        <v>147407</v>
      </c>
      <c r="K136" s="67">
        <v>768042</v>
      </c>
      <c r="L136" s="67">
        <v>197490</v>
      </c>
      <c r="M136" s="67">
        <v>1112939</v>
      </c>
      <c r="N136" s="68"/>
      <c r="O136" s="68">
        <v>-222280</v>
      </c>
      <c r="P136" s="68">
        <v>-27009</v>
      </c>
      <c r="Q136" s="68">
        <v>-249289</v>
      </c>
    </row>
    <row r="137" spans="1:17" ht="12" customHeight="1">
      <c r="A137" s="413">
        <v>29088</v>
      </c>
      <c r="B137" s="414" t="s">
        <v>124</v>
      </c>
      <c r="C137" s="84">
        <v>1004538</v>
      </c>
      <c r="D137" s="84">
        <v>16982</v>
      </c>
      <c r="E137" s="84">
        <v>21478</v>
      </c>
      <c r="F137" s="84">
        <v>193320</v>
      </c>
      <c r="G137" s="84">
        <v>157795</v>
      </c>
      <c r="H137" s="84">
        <v>389575</v>
      </c>
      <c r="I137" s="84"/>
      <c r="J137" s="84">
        <v>181872</v>
      </c>
      <c r="K137" s="84">
        <v>947616</v>
      </c>
      <c r="L137" s="84">
        <v>104629</v>
      </c>
      <c r="M137" s="84">
        <v>1234117</v>
      </c>
      <c r="N137" s="85"/>
      <c r="O137" s="85">
        <v>-274251</v>
      </c>
      <c r="P137" s="85">
        <v>-11942</v>
      </c>
      <c r="Q137" s="85">
        <v>-286193</v>
      </c>
    </row>
    <row r="138" spans="1:17" ht="12" customHeight="1">
      <c r="A138" s="411">
        <v>7337</v>
      </c>
      <c r="B138" s="415" t="s">
        <v>125</v>
      </c>
      <c r="C138" s="67">
        <v>281051</v>
      </c>
      <c r="D138" s="67">
        <v>4751</v>
      </c>
      <c r="E138" s="67">
        <v>6009</v>
      </c>
      <c r="F138" s="67">
        <v>54087</v>
      </c>
      <c r="G138" s="67">
        <v>79447</v>
      </c>
      <c r="H138" s="67">
        <v>144294</v>
      </c>
      <c r="I138" s="67"/>
      <c r="J138" s="67">
        <v>50884</v>
      </c>
      <c r="K138" s="67">
        <v>265125</v>
      </c>
      <c r="L138" s="67">
        <v>114734</v>
      </c>
      <c r="M138" s="67">
        <v>430743</v>
      </c>
      <c r="N138" s="68"/>
      <c r="O138" s="68">
        <v>-76730</v>
      </c>
      <c r="P138" s="68">
        <v>-51112</v>
      </c>
      <c r="Q138" s="68">
        <v>-127842</v>
      </c>
    </row>
    <row r="139" spans="1:17" ht="12" customHeight="1">
      <c r="A139" s="413">
        <v>2329</v>
      </c>
      <c r="B139" s="414" t="s">
        <v>126</v>
      </c>
      <c r="C139" s="84">
        <v>662353</v>
      </c>
      <c r="D139" s="84">
        <v>11197</v>
      </c>
      <c r="E139" s="84">
        <v>14162</v>
      </c>
      <c r="F139" s="84">
        <v>127467</v>
      </c>
      <c r="G139" s="84">
        <v>108403</v>
      </c>
      <c r="H139" s="84">
        <v>261229</v>
      </c>
      <c r="I139" s="84"/>
      <c r="J139" s="84">
        <v>119919</v>
      </c>
      <c r="K139" s="84">
        <v>624820</v>
      </c>
      <c r="L139" s="251">
        <v>505388</v>
      </c>
      <c r="M139" s="84">
        <v>1250127</v>
      </c>
      <c r="N139" s="85"/>
      <c r="O139" s="85">
        <v>-180830</v>
      </c>
      <c r="P139" s="85">
        <v>-136513</v>
      </c>
      <c r="Q139" s="85">
        <v>-317343</v>
      </c>
    </row>
    <row r="140" spans="1:17" ht="12" customHeight="1">
      <c r="A140" s="411">
        <v>17425</v>
      </c>
      <c r="B140" s="415" t="s">
        <v>128</v>
      </c>
      <c r="C140" s="67">
        <v>201719</v>
      </c>
      <c r="D140" s="67">
        <v>3410</v>
      </c>
      <c r="E140" s="67">
        <v>4313</v>
      </c>
      <c r="F140" s="67">
        <v>38820</v>
      </c>
      <c r="G140" s="67">
        <v>185417</v>
      </c>
      <c r="H140" s="67">
        <v>231960</v>
      </c>
      <c r="I140" s="67"/>
      <c r="J140" s="67">
        <v>36521</v>
      </c>
      <c r="K140" s="67">
        <v>190289</v>
      </c>
      <c r="L140" s="250">
        <v>118095</v>
      </c>
      <c r="M140" s="67">
        <v>344905</v>
      </c>
      <c r="N140" s="68"/>
      <c r="O140" s="68">
        <v>-55072</v>
      </c>
      <c r="P140" s="68">
        <v>-18831</v>
      </c>
      <c r="Q140" s="68">
        <v>-73903</v>
      </c>
    </row>
    <row r="141" spans="1:17" ht="12" customHeight="1">
      <c r="A141" s="413">
        <v>4010</v>
      </c>
      <c r="B141" s="414" t="s">
        <v>129</v>
      </c>
      <c r="C141" s="84">
        <v>477493</v>
      </c>
      <c r="D141" s="84">
        <v>8072</v>
      </c>
      <c r="E141" s="84">
        <v>10209</v>
      </c>
      <c r="F141" s="84">
        <v>91892</v>
      </c>
      <c r="G141" s="84">
        <v>129940</v>
      </c>
      <c r="H141" s="84">
        <v>240113</v>
      </c>
      <c r="I141" s="84"/>
      <c r="J141" s="84">
        <v>86450</v>
      </c>
      <c r="K141" s="84">
        <v>450436</v>
      </c>
      <c r="L141" s="84">
        <v>0</v>
      </c>
      <c r="M141" s="84">
        <v>536886</v>
      </c>
      <c r="N141" s="85"/>
      <c r="O141" s="85">
        <v>-130361</v>
      </c>
      <c r="P141" s="85">
        <v>43981</v>
      </c>
      <c r="Q141" s="85">
        <v>-86380</v>
      </c>
    </row>
    <row r="142" spans="1:17" ht="12" customHeight="1">
      <c r="A142" s="411">
        <v>7023</v>
      </c>
      <c r="B142" s="415" t="s">
        <v>421</v>
      </c>
      <c r="C142" s="67">
        <v>58086942</v>
      </c>
      <c r="D142" s="67">
        <v>981965</v>
      </c>
      <c r="E142" s="67">
        <v>1241983</v>
      </c>
      <c r="F142" s="67">
        <v>11178631</v>
      </c>
      <c r="G142" s="67">
        <v>9300163</v>
      </c>
      <c r="H142" s="67">
        <v>22702742</v>
      </c>
      <c r="I142" s="67"/>
      <c r="J142" s="67">
        <v>10516665</v>
      </c>
      <c r="K142" s="67">
        <v>54795447</v>
      </c>
      <c r="L142" s="67">
        <v>0</v>
      </c>
      <c r="M142" s="67">
        <v>65312112</v>
      </c>
      <c r="N142" s="68"/>
      <c r="O142" s="68">
        <v>-15858421</v>
      </c>
      <c r="P142" s="68">
        <v>2762773</v>
      </c>
      <c r="Q142" s="68">
        <v>-13095648</v>
      </c>
    </row>
    <row r="143" spans="1:17" ht="12" customHeight="1">
      <c r="A143" s="413">
        <v>7338</v>
      </c>
      <c r="B143" s="414" t="s">
        <v>131</v>
      </c>
      <c r="C143" s="84">
        <v>401610</v>
      </c>
      <c r="D143" s="84">
        <v>6789</v>
      </c>
      <c r="E143" s="84">
        <v>8587</v>
      </c>
      <c r="F143" s="84">
        <v>77288</v>
      </c>
      <c r="G143" s="84">
        <v>49440</v>
      </c>
      <c r="H143" s="84">
        <v>142104</v>
      </c>
      <c r="I143" s="84"/>
      <c r="J143" s="84">
        <v>72712</v>
      </c>
      <c r="K143" s="84">
        <v>378853</v>
      </c>
      <c r="L143" s="251">
        <v>170039</v>
      </c>
      <c r="M143" s="84">
        <v>621604</v>
      </c>
      <c r="N143" s="85"/>
      <c r="O143" s="85">
        <v>-109644</v>
      </c>
      <c r="P143" s="85">
        <v>30799</v>
      </c>
      <c r="Q143" s="85">
        <v>-78845</v>
      </c>
    </row>
    <row r="144" spans="1:17" ht="12" customHeight="1">
      <c r="A144" s="411">
        <v>12037</v>
      </c>
      <c r="B144" s="415" t="s">
        <v>132</v>
      </c>
      <c r="C144" s="67">
        <v>3300984</v>
      </c>
      <c r="D144" s="67">
        <v>55803</v>
      </c>
      <c r="E144" s="67">
        <v>70580</v>
      </c>
      <c r="F144" s="67">
        <v>635263</v>
      </c>
      <c r="G144" s="67">
        <v>38596</v>
      </c>
      <c r="H144" s="67">
        <v>800242</v>
      </c>
      <c r="I144" s="67"/>
      <c r="J144" s="67">
        <v>597645</v>
      </c>
      <c r="K144" s="67">
        <v>3113934</v>
      </c>
      <c r="L144" s="250">
        <v>422227</v>
      </c>
      <c r="M144" s="67">
        <v>4133806</v>
      </c>
      <c r="N144" s="68"/>
      <c r="O144" s="68">
        <v>-901208</v>
      </c>
      <c r="P144" s="68">
        <v>2756</v>
      </c>
      <c r="Q144" s="68">
        <v>-898452</v>
      </c>
    </row>
    <row r="145" spans="1:17" ht="12" customHeight="1">
      <c r="A145" s="413">
        <v>3150</v>
      </c>
      <c r="B145" s="414" t="s">
        <v>133</v>
      </c>
      <c r="C145" s="84">
        <v>6686786</v>
      </c>
      <c r="D145" s="84">
        <v>113041</v>
      </c>
      <c r="E145" s="84">
        <v>142973</v>
      </c>
      <c r="F145" s="84">
        <v>1286849</v>
      </c>
      <c r="G145" s="84">
        <v>1696499</v>
      </c>
      <c r="H145" s="84">
        <v>3239362</v>
      </c>
      <c r="I145" s="84"/>
      <c r="J145" s="84">
        <v>1210645</v>
      </c>
      <c r="K145" s="84">
        <v>6307879</v>
      </c>
      <c r="L145" s="84">
        <v>1501726</v>
      </c>
      <c r="M145" s="84">
        <v>9020250</v>
      </c>
      <c r="N145" s="85"/>
      <c r="O145" s="85">
        <v>-1825572</v>
      </c>
      <c r="P145" s="85">
        <v>401769</v>
      </c>
      <c r="Q145" s="85">
        <v>-1423803</v>
      </c>
    </row>
    <row r="146" spans="1:17" ht="12" customHeight="1">
      <c r="A146" s="411">
        <v>3160</v>
      </c>
      <c r="B146" s="415" t="s">
        <v>134</v>
      </c>
      <c r="C146" s="67">
        <v>1548711</v>
      </c>
      <c r="D146" s="67">
        <v>26181</v>
      </c>
      <c r="E146" s="67">
        <v>33114</v>
      </c>
      <c r="F146" s="67">
        <v>298044</v>
      </c>
      <c r="G146" s="67">
        <v>135783</v>
      </c>
      <c r="H146" s="67">
        <v>493122</v>
      </c>
      <c r="I146" s="67"/>
      <c r="J146" s="67">
        <v>280395</v>
      </c>
      <c r="K146" s="67">
        <v>1460953</v>
      </c>
      <c r="L146" s="67">
        <v>409664</v>
      </c>
      <c r="M146" s="67">
        <v>2151012</v>
      </c>
      <c r="N146" s="68"/>
      <c r="O146" s="68">
        <v>-422816</v>
      </c>
      <c r="P146" s="68">
        <v>-67787</v>
      </c>
      <c r="Q146" s="68">
        <v>-490603</v>
      </c>
    </row>
    <row r="147" spans="1:17" ht="12" customHeight="1">
      <c r="A147" s="413">
        <v>10120</v>
      </c>
      <c r="B147" s="414" t="s">
        <v>135</v>
      </c>
      <c r="C147" s="84">
        <v>794434</v>
      </c>
      <c r="D147" s="84">
        <v>13430</v>
      </c>
      <c r="E147" s="84">
        <v>16986</v>
      </c>
      <c r="F147" s="84">
        <v>152886</v>
      </c>
      <c r="G147" s="84">
        <v>57762</v>
      </c>
      <c r="H147" s="84">
        <v>241064</v>
      </c>
      <c r="I147" s="84"/>
      <c r="J147" s="84">
        <v>143833</v>
      </c>
      <c r="K147" s="84">
        <v>749417</v>
      </c>
      <c r="L147" s="84">
        <v>98078</v>
      </c>
      <c r="M147" s="84">
        <v>991328</v>
      </c>
      <c r="N147" s="85"/>
      <c r="O147" s="85">
        <v>-216890</v>
      </c>
      <c r="P147" s="85">
        <v>-16747</v>
      </c>
      <c r="Q147" s="85">
        <v>-233637</v>
      </c>
    </row>
    <row r="148" spans="1:17" ht="12" customHeight="1">
      <c r="A148" s="411">
        <v>23070</v>
      </c>
      <c r="B148" s="415" t="s">
        <v>136</v>
      </c>
      <c r="C148" s="67">
        <v>1199433</v>
      </c>
      <c r="D148" s="67">
        <v>20277</v>
      </c>
      <c r="E148" s="67">
        <v>25646</v>
      </c>
      <c r="F148" s="67">
        <v>230827</v>
      </c>
      <c r="G148" s="67">
        <v>67307</v>
      </c>
      <c r="H148" s="67">
        <v>344057</v>
      </c>
      <c r="I148" s="67"/>
      <c r="J148" s="67">
        <v>217158</v>
      </c>
      <c r="K148" s="67">
        <v>1131468</v>
      </c>
      <c r="L148" s="67">
        <v>267817</v>
      </c>
      <c r="M148" s="67">
        <v>1616443</v>
      </c>
      <c r="N148" s="68"/>
      <c r="O148" s="68">
        <v>-327459</v>
      </c>
      <c r="P148" s="68">
        <v>7371</v>
      </c>
      <c r="Q148" s="68">
        <v>-320088</v>
      </c>
    </row>
    <row r="149" spans="1:17" ht="12" customHeight="1">
      <c r="A149" s="413">
        <v>3170</v>
      </c>
      <c r="B149" s="414" t="s">
        <v>137</v>
      </c>
      <c r="C149" s="84">
        <v>15524883</v>
      </c>
      <c r="D149" s="84">
        <v>262449</v>
      </c>
      <c r="E149" s="84">
        <v>331945</v>
      </c>
      <c r="F149" s="84">
        <v>2987710</v>
      </c>
      <c r="G149" s="84">
        <v>887198</v>
      </c>
      <c r="H149" s="84">
        <v>4469302</v>
      </c>
      <c r="I149" s="84"/>
      <c r="J149" s="84">
        <v>2810787</v>
      </c>
      <c r="K149" s="84">
        <v>14645166</v>
      </c>
      <c r="L149" s="251">
        <v>2347327</v>
      </c>
      <c r="M149" s="84">
        <v>19803280</v>
      </c>
      <c r="N149" s="85"/>
      <c r="O149" s="85">
        <v>-4238477</v>
      </c>
      <c r="P149" s="85">
        <v>-836003</v>
      </c>
      <c r="Q149" s="85">
        <v>-5074480</v>
      </c>
    </row>
    <row r="150" spans="1:17" ht="12" customHeight="1">
      <c r="A150" s="411">
        <v>32093</v>
      </c>
      <c r="B150" s="415" t="s">
        <v>138</v>
      </c>
      <c r="C150" s="67">
        <v>10324916</v>
      </c>
      <c r="D150" s="67">
        <v>174544</v>
      </c>
      <c r="E150" s="67">
        <v>220762</v>
      </c>
      <c r="F150" s="67">
        <v>1986994</v>
      </c>
      <c r="G150" s="67">
        <v>664665</v>
      </c>
      <c r="H150" s="67">
        <v>3046965</v>
      </c>
      <c r="I150" s="67"/>
      <c r="J150" s="67">
        <v>1869330</v>
      </c>
      <c r="K150" s="67">
        <v>9739854</v>
      </c>
      <c r="L150" s="250">
        <v>176421</v>
      </c>
      <c r="M150" s="67">
        <v>11785605</v>
      </c>
      <c r="N150" s="68"/>
      <c r="O150" s="68">
        <v>-2818824</v>
      </c>
      <c r="P150" s="68">
        <v>416043</v>
      </c>
      <c r="Q150" s="68">
        <v>-2402781</v>
      </c>
    </row>
    <row r="151" spans="1:17" ht="12" customHeight="1">
      <c r="A151" s="413">
        <v>14045</v>
      </c>
      <c r="B151" s="414" t="s">
        <v>139</v>
      </c>
      <c r="C151" s="84">
        <v>19507429</v>
      </c>
      <c r="D151" s="84">
        <v>329775</v>
      </c>
      <c r="E151" s="84">
        <v>417097</v>
      </c>
      <c r="F151" s="84">
        <v>3754137</v>
      </c>
      <c r="G151" s="84">
        <v>3882589</v>
      </c>
      <c r="H151" s="84">
        <v>8383598</v>
      </c>
      <c r="I151" s="84"/>
      <c r="J151" s="84">
        <v>3531828</v>
      </c>
      <c r="K151" s="84">
        <v>18402041</v>
      </c>
      <c r="L151" s="251">
        <v>99981</v>
      </c>
      <c r="M151" s="84">
        <v>22033850</v>
      </c>
      <c r="N151" s="85"/>
      <c r="O151" s="85">
        <v>-5325758</v>
      </c>
      <c r="P151" s="85">
        <v>1331381</v>
      </c>
      <c r="Q151" s="85">
        <v>-3994377</v>
      </c>
    </row>
    <row r="152" spans="1:17" ht="12" customHeight="1">
      <c r="A152" s="411">
        <v>2322</v>
      </c>
      <c r="B152" s="415" t="s">
        <v>140</v>
      </c>
      <c r="C152" s="67">
        <v>473300</v>
      </c>
      <c r="D152" s="67">
        <v>8001</v>
      </c>
      <c r="E152" s="67">
        <v>10120</v>
      </c>
      <c r="F152" s="67">
        <v>91085</v>
      </c>
      <c r="G152" s="67">
        <v>121328</v>
      </c>
      <c r="H152" s="67">
        <v>230534</v>
      </c>
      <c r="I152" s="67"/>
      <c r="J152" s="67">
        <v>85691</v>
      </c>
      <c r="K152" s="67">
        <v>446481</v>
      </c>
      <c r="L152" s="250">
        <v>85742</v>
      </c>
      <c r="M152" s="67">
        <v>617914</v>
      </c>
      <c r="N152" s="68"/>
      <c r="O152" s="68">
        <v>-129217</v>
      </c>
      <c r="P152" s="68">
        <v>-4629</v>
      </c>
      <c r="Q152" s="68">
        <v>-133846</v>
      </c>
    </row>
    <row r="153" spans="1:17" ht="12" customHeight="1">
      <c r="A153" s="413">
        <v>3006</v>
      </c>
      <c r="B153" s="414" t="s">
        <v>141</v>
      </c>
      <c r="C153" s="84">
        <v>1562329</v>
      </c>
      <c r="D153" s="84">
        <v>26411</v>
      </c>
      <c r="E153" s="84">
        <v>33405</v>
      </c>
      <c r="F153" s="84">
        <v>300665</v>
      </c>
      <c r="G153" s="84">
        <v>625329</v>
      </c>
      <c r="H153" s="84">
        <v>985810</v>
      </c>
      <c r="I153" s="84"/>
      <c r="J153" s="84">
        <v>282860</v>
      </c>
      <c r="K153" s="84">
        <v>1473800</v>
      </c>
      <c r="L153" s="251">
        <v>182237</v>
      </c>
      <c r="M153" s="84">
        <v>1938897</v>
      </c>
      <c r="N153" s="85"/>
      <c r="O153" s="85">
        <v>-426534</v>
      </c>
      <c r="P153" s="85">
        <v>71669</v>
      </c>
      <c r="Q153" s="85">
        <v>-354865</v>
      </c>
    </row>
    <row r="154" spans="1:17" ht="12" customHeight="1">
      <c r="A154" s="411">
        <v>6019</v>
      </c>
      <c r="B154" s="412" t="s">
        <v>142</v>
      </c>
      <c r="C154" s="154">
        <v>8414335</v>
      </c>
      <c r="D154" s="154">
        <v>142245</v>
      </c>
      <c r="E154" s="154">
        <v>179911</v>
      </c>
      <c r="F154" s="154">
        <v>1619310</v>
      </c>
      <c r="G154" s="154">
        <v>2484806</v>
      </c>
      <c r="H154" s="154">
        <v>4426272</v>
      </c>
      <c r="I154" s="154"/>
      <c r="J154" s="154">
        <v>1523419</v>
      </c>
      <c r="K154" s="154">
        <v>7937537</v>
      </c>
      <c r="L154" s="156">
        <v>748901</v>
      </c>
      <c r="M154" s="154">
        <v>10209857</v>
      </c>
      <c r="N154" s="155"/>
      <c r="O154" s="155">
        <v>-2297213</v>
      </c>
      <c r="P154" s="155">
        <v>459896</v>
      </c>
      <c r="Q154" s="155">
        <v>-1837317</v>
      </c>
    </row>
    <row r="155" spans="1:17" ht="12" customHeight="1">
      <c r="A155" s="413">
        <v>12128</v>
      </c>
      <c r="B155" s="414" t="s">
        <v>143</v>
      </c>
      <c r="C155" s="84">
        <v>1616045</v>
      </c>
      <c r="D155" s="84">
        <v>27319</v>
      </c>
      <c r="E155" s="84">
        <v>34553</v>
      </c>
      <c r="F155" s="84">
        <v>311002</v>
      </c>
      <c r="G155" s="84">
        <v>53708</v>
      </c>
      <c r="H155" s="84">
        <v>426582</v>
      </c>
      <c r="I155" s="84"/>
      <c r="J155" s="84">
        <v>292586</v>
      </c>
      <c r="K155" s="84">
        <v>1524471</v>
      </c>
      <c r="L155" s="84">
        <v>1061141</v>
      </c>
      <c r="M155" s="84">
        <v>2878198</v>
      </c>
      <c r="N155" s="85"/>
      <c r="O155" s="85">
        <v>-441199</v>
      </c>
      <c r="P155" s="85">
        <v>-249993</v>
      </c>
      <c r="Q155" s="85">
        <v>-691192</v>
      </c>
    </row>
    <row r="156" spans="1:17" ht="12" customHeight="1">
      <c r="A156" s="411">
        <v>3180</v>
      </c>
      <c r="B156" s="415" t="s">
        <v>144</v>
      </c>
      <c r="C156" s="67">
        <v>3049504</v>
      </c>
      <c r="D156" s="67">
        <v>51552</v>
      </c>
      <c r="E156" s="67">
        <v>65203</v>
      </c>
      <c r="F156" s="67">
        <v>586866</v>
      </c>
      <c r="G156" s="67">
        <v>217293</v>
      </c>
      <c r="H156" s="67">
        <v>920914</v>
      </c>
      <c r="I156" s="67"/>
      <c r="J156" s="67">
        <v>552114</v>
      </c>
      <c r="K156" s="67">
        <v>2876704</v>
      </c>
      <c r="L156" s="67">
        <v>442449</v>
      </c>
      <c r="M156" s="67">
        <v>3871267</v>
      </c>
      <c r="N156" s="68"/>
      <c r="O156" s="68">
        <v>-832551</v>
      </c>
      <c r="P156" s="68">
        <v>-154994</v>
      </c>
      <c r="Q156" s="68">
        <v>-987545</v>
      </c>
    </row>
    <row r="157" spans="1:17" ht="12" customHeight="1">
      <c r="A157" s="413">
        <v>25075</v>
      </c>
      <c r="B157" s="414" t="s">
        <v>145</v>
      </c>
      <c r="C157" s="84">
        <v>1275390</v>
      </c>
      <c r="D157" s="84">
        <v>21561</v>
      </c>
      <c r="E157" s="84">
        <v>27270</v>
      </c>
      <c r="F157" s="84">
        <v>245444</v>
      </c>
      <c r="G157" s="84">
        <v>329873</v>
      </c>
      <c r="H157" s="84">
        <v>624148</v>
      </c>
      <c r="I157" s="84"/>
      <c r="J157" s="84">
        <v>230910</v>
      </c>
      <c r="K157" s="84">
        <v>1203120</v>
      </c>
      <c r="L157" s="84">
        <v>204318</v>
      </c>
      <c r="M157" s="84">
        <v>1638348</v>
      </c>
      <c r="N157" s="85"/>
      <c r="O157" s="85">
        <v>-348197</v>
      </c>
      <c r="P157" s="85">
        <v>22861</v>
      </c>
      <c r="Q157" s="85">
        <v>-325336</v>
      </c>
    </row>
    <row r="158" spans="1:17" ht="12" customHeight="1">
      <c r="A158" s="411">
        <v>2311</v>
      </c>
      <c r="B158" s="415" t="s">
        <v>422</v>
      </c>
      <c r="C158" s="67">
        <v>522541</v>
      </c>
      <c r="D158" s="67">
        <v>8834</v>
      </c>
      <c r="E158" s="67">
        <v>11173</v>
      </c>
      <c r="F158" s="67">
        <v>100561</v>
      </c>
      <c r="G158" s="67">
        <v>200237</v>
      </c>
      <c r="H158" s="67">
        <v>320805</v>
      </c>
      <c r="I158" s="67"/>
      <c r="J158" s="67">
        <v>94606</v>
      </c>
      <c r="K158" s="67">
        <v>492931</v>
      </c>
      <c r="L158" s="67">
        <v>82638</v>
      </c>
      <c r="M158" s="67">
        <v>670175</v>
      </c>
      <c r="N158" s="68"/>
      <c r="O158" s="68">
        <v>-142660</v>
      </c>
      <c r="P158" s="68">
        <v>58677</v>
      </c>
      <c r="Q158" s="68">
        <v>-83983</v>
      </c>
    </row>
    <row r="159" spans="1:17" ht="12" customHeight="1">
      <c r="A159" s="413">
        <v>9028</v>
      </c>
      <c r="B159" s="414" t="s">
        <v>146</v>
      </c>
      <c r="C159" s="84">
        <v>475084</v>
      </c>
      <c r="D159" s="84">
        <v>8031</v>
      </c>
      <c r="E159" s="84">
        <v>10158</v>
      </c>
      <c r="F159" s="84">
        <v>91428</v>
      </c>
      <c r="G159" s="84">
        <v>19078</v>
      </c>
      <c r="H159" s="84">
        <v>128695</v>
      </c>
      <c r="I159" s="84"/>
      <c r="J159" s="84">
        <v>86014</v>
      </c>
      <c r="K159" s="84">
        <v>448164</v>
      </c>
      <c r="L159" s="84">
        <v>73213</v>
      </c>
      <c r="M159" s="84">
        <v>607391</v>
      </c>
      <c r="N159" s="85"/>
      <c r="O159" s="85">
        <v>-129704</v>
      </c>
      <c r="P159" s="85">
        <v>-19826</v>
      </c>
      <c r="Q159" s="85">
        <v>-149530</v>
      </c>
    </row>
    <row r="160" spans="1:17" ht="12" customHeight="1">
      <c r="A160" s="411">
        <v>17424</v>
      </c>
      <c r="B160" s="415" t="s">
        <v>147</v>
      </c>
      <c r="C160" s="67">
        <v>948756</v>
      </c>
      <c r="D160" s="67">
        <v>16039</v>
      </c>
      <c r="E160" s="67">
        <v>20286</v>
      </c>
      <c r="F160" s="67">
        <v>182585</v>
      </c>
      <c r="G160" s="250">
        <v>253713</v>
      </c>
      <c r="H160" s="67">
        <v>472623</v>
      </c>
      <c r="I160" s="67"/>
      <c r="J160" s="67">
        <v>171773</v>
      </c>
      <c r="K160" s="67">
        <v>894995</v>
      </c>
      <c r="L160" s="67">
        <v>22602</v>
      </c>
      <c r="M160" s="67">
        <v>1089370</v>
      </c>
      <c r="N160" s="68"/>
      <c r="O160" s="68">
        <v>-259022</v>
      </c>
      <c r="P160" s="68">
        <v>49132</v>
      </c>
      <c r="Q160" s="68">
        <v>-209890</v>
      </c>
    </row>
    <row r="161" spans="1:17" ht="12" customHeight="1">
      <c r="A161" s="413">
        <v>3200</v>
      </c>
      <c r="B161" s="414" t="s">
        <v>148</v>
      </c>
      <c r="C161" s="84">
        <v>3226038</v>
      </c>
      <c r="D161" s="84">
        <v>54536</v>
      </c>
      <c r="E161" s="84">
        <v>68977</v>
      </c>
      <c r="F161" s="84">
        <v>620840</v>
      </c>
      <c r="G161" s="84">
        <v>0</v>
      </c>
      <c r="H161" s="84">
        <v>744353</v>
      </c>
      <c r="I161" s="84"/>
      <c r="J161" s="84">
        <v>584076</v>
      </c>
      <c r="K161" s="84">
        <v>3043235</v>
      </c>
      <c r="L161" s="251">
        <v>885818</v>
      </c>
      <c r="M161" s="84">
        <v>4513129</v>
      </c>
      <c r="N161" s="85"/>
      <c r="O161" s="85">
        <v>-880746</v>
      </c>
      <c r="P161" s="85">
        <v>-497404</v>
      </c>
      <c r="Q161" s="85">
        <v>-1378150</v>
      </c>
    </row>
    <row r="162" spans="1:17" ht="12" customHeight="1">
      <c r="A162" s="411">
        <v>2365</v>
      </c>
      <c r="B162" s="415" t="s">
        <v>149</v>
      </c>
      <c r="C162" s="67">
        <v>386341</v>
      </c>
      <c r="D162" s="67">
        <v>6531</v>
      </c>
      <c r="E162" s="67">
        <v>8261</v>
      </c>
      <c r="F162" s="67">
        <v>74350</v>
      </c>
      <c r="G162" s="250">
        <v>24152</v>
      </c>
      <c r="H162" s="67">
        <v>113294</v>
      </c>
      <c r="I162" s="67"/>
      <c r="J162" s="67">
        <v>69947</v>
      </c>
      <c r="K162" s="67">
        <v>364449</v>
      </c>
      <c r="L162" s="67">
        <v>419724</v>
      </c>
      <c r="M162" s="67">
        <v>854120</v>
      </c>
      <c r="N162" s="68"/>
      <c r="O162" s="68">
        <v>-105476</v>
      </c>
      <c r="P162" s="68">
        <v>-68451</v>
      </c>
      <c r="Q162" s="68">
        <v>-173927</v>
      </c>
    </row>
    <row r="163" spans="1:17" ht="12" customHeight="1">
      <c r="A163" s="413">
        <v>5014</v>
      </c>
      <c r="B163" s="414" t="s">
        <v>150</v>
      </c>
      <c r="C163" s="84">
        <v>680758</v>
      </c>
      <c r="D163" s="84">
        <v>11508</v>
      </c>
      <c r="E163" s="84">
        <v>14556</v>
      </c>
      <c r="F163" s="84">
        <v>131010</v>
      </c>
      <c r="G163" s="84">
        <v>49923</v>
      </c>
      <c r="H163" s="84">
        <v>206997</v>
      </c>
      <c r="I163" s="84"/>
      <c r="J163" s="84">
        <v>123252</v>
      </c>
      <c r="K163" s="84">
        <v>642183</v>
      </c>
      <c r="L163" s="84">
        <v>42244</v>
      </c>
      <c r="M163" s="84">
        <v>807679</v>
      </c>
      <c r="N163" s="85"/>
      <c r="O163" s="85">
        <v>-185855</v>
      </c>
      <c r="P163" s="85">
        <v>11087</v>
      </c>
      <c r="Q163" s="85">
        <v>-174768</v>
      </c>
    </row>
    <row r="164" spans="1:17" ht="12" customHeight="1">
      <c r="A164" s="411">
        <v>17127</v>
      </c>
      <c r="B164" s="415" t="s">
        <v>151</v>
      </c>
      <c r="C164" s="67">
        <v>779016</v>
      </c>
      <c r="D164" s="67">
        <v>13169</v>
      </c>
      <c r="E164" s="67">
        <v>16656</v>
      </c>
      <c r="F164" s="67">
        <v>149919</v>
      </c>
      <c r="G164" s="67">
        <v>343520</v>
      </c>
      <c r="H164" s="67">
        <v>523264</v>
      </c>
      <c r="I164" s="67"/>
      <c r="J164" s="67">
        <v>141041</v>
      </c>
      <c r="K164" s="67">
        <v>734873</v>
      </c>
      <c r="L164" s="67">
        <v>267753</v>
      </c>
      <c r="M164" s="67">
        <v>1143667</v>
      </c>
      <c r="N164" s="68"/>
      <c r="O164" s="68">
        <v>-212681</v>
      </c>
      <c r="P164" s="68">
        <v>-146564</v>
      </c>
      <c r="Q164" s="68">
        <v>-359245</v>
      </c>
    </row>
    <row r="165" spans="1:17" ht="12" customHeight="1">
      <c r="A165" s="413">
        <v>10141</v>
      </c>
      <c r="B165" s="414" t="s">
        <v>152</v>
      </c>
      <c r="C165" s="84">
        <v>1649823</v>
      </c>
      <c r="D165" s="84">
        <v>27890</v>
      </c>
      <c r="E165" s="84">
        <v>35276</v>
      </c>
      <c r="F165" s="84">
        <v>317503</v>
      </c>
      <c r="G165" s="84">
        <v>1059795</v>
      </c>
      <c r="H165" s="84">
        <v>1440464</v>
      </c>
      <c r="I165" s="84"/>
      <c r="J165" s="84">
        <v>298701</v>
      </c>
      <c r="K165" s="84">
        <v>1556336</v>
      </c>
      <c r="L165" s="84">
        <v>191771</v>
      </c>
      <c r="M165" s="84">
        <v>2046808</v>
      </c>
      <c r="N165" s="85"/>
      <c r="O165" s="85">
        <v>-450421</v>
      </c>
      <c r="P165" s="85">
        <v>158984</v>
      </c>
      <c r="Q165" s="85">
        <v>-291437</v>
      </c>
    </row>
    <row r="166" spans="1:17" ht="12" customHeight="1">
      <c r="A166" s="411">
        <v>4570</v>
      </c>
      <c r="B166" s="415" t="s">
        <v>400</v>
      </c>
      <c r="C166" s="67">
        <v>2499429</v>
      </c>
      <c r="D166" s="67">
        <v>42253</v>
      </c>
      <c r="E166" s="67">
        <v>53441</v>
      </c>
      <c r="F166" s="67">
        <v>481006</v>
      </c>
      <c r="G166" s="67">
        <v>1284340</v>
      </c>
      <c r="H166" s="67">
        <v>1861040</v>
      </c>
      <c r="I166" s="67"/>
      <c r="J166" s="67">
        <v>452523</v>
      </c>
      <c r="K166" s="67">
        <v>2357799</v>
      </c>
      <c r="L166" s="250">
        <v>331760</v>
      </c>
      <c r="M166" s="67">
        <v>3142082</v>
      </c>
      <c r="N166" s="68"/>
      <c r="O166" s="68">
        <v>-682374</v>
      </c>
      <c r="P166" s="68">
        <v>1426686</v>
      </c>
      <c r="Q166" s="68">
        <v>744312</v>
      </c>
    </row>
    <row r="167" spans="1:17" ht="12" customHeight="1">
      <c r="A167" s="413">
        <v>13369</v>
      </c>
      <c r="B167" s="414" t="s">
        <v>153</v>
      </c>
      <c r="C167" s="84">
        <v>244121</v>
      </c>
      <c r="D167" s="84">
        <v>4127</v>
      </c>
      <c r="E167" s="84">
        <v>5220</v>
      </c>
      <c r="F167" s="84">
        <v>46980</v>
      </c>
      <c r="G167" s="84">
        <v>67233</v>
      </c>
      <c r="H167" s="84">
        <v>123560</v>
      </c>
      <c r="I167" s="84"/>
      <c r="J167" s="84">
        <v>44198</v>
      </c>
      <c r="K167" s="84">
        <v>230288</v>
      </c>
      <c r="L167" s="84">
        <v>45318</v>
      </c>
      <c r="M167" s="84">
        <v>319804</v>
      </c>
      <c r="N167" s="85"/>
      <c r="O167" s="85">
        <v>-66648</v>
      </c>
      <c r="P167" s="85">
        <v>11913</v>
      </c>
      <c r="Q167" s="85">
        <v>-54735</v>
      </c>
    </row>
    <row r="168" spans="1:17" ht="12" customHeight="1">
      <c r="A168" s="411">
        <v>2425</v>
      </c>
      <c r="B168" s="415" t="s">
        <v>154</v>
      </c>
      <c r="C168" s="67">
        <v>5190096</v>
      </c>
      <c r="D168" s="67">
        <v>87739</v>
      </c>
      <c r="E168" s="67">
        <v>110972</v>
      </c>
      <c r="F168" s="67">
        <v>998816</v>
      </c>
      <c r="G168" s="67">
        <v>5374617</v>
      </c>
      <c r="H168" s="67">
        <v>6572144</v>
      </c>
      <c r="I168" s="67"/>
      <c r="J168" s="67">
        <v>939669</v>
      </c>
      <c r="K168" s="67">
        <v>4895999</v>
      </c>
      <c r="L168" s="67">
        <v>0</v>
      </c>
      <c r="M168" s="67">
        <v>5835668</v>
      </c>
      <c r="N168" s="68"/>
      <c r="O168" s="68">
        <v>-1416958</v>
      </c>
      <c r="P168" s="68">
        <v>1738103</v>
      </c>
      <c r="Q168" s="68">
        <v>321145</v>
      </c>
    </row>
    <row r="169" spans="1:17" ht="12" customHeight="1">
      <c r="A169" s="413">
        <v>1306</v>
      </c>
      <c r="B169" s="414" t="s">
        <v>155</v>
      </c>
      <c r="C169" s="84">
        <v>769769</v>
      </c>
      <c r="D169" s="84">
        <v>13013</v>
      </c>
      <c r="E169" s="84">
        <v>16459</v>
      </c>
      <c r="F169" s="84">
        <v>148139</v>
      </c>
      <c r="G169" s="84">
        <v>219568</v>
      </c>
      <c r="H169" s="84">
        <v>397179</v>
      </c>
      <c r="I169" s="84"/>
      <c r="J169" s="84">
        <v>139367</v>
      </c>
      <c r="K169" s="84">
        <v>726150</v>
      </c>
      <c r="L169" s="84">
        <v>201356</v>
      </c>
      <c r="M169" s="84">
        <v>1066873</v>
      </c>
      <c r="N169" s="85"/>
      <c r="O169" s="85">
        <v>-210156</v>
      </c>
      <c r="P169" s="85">
        <v>73847</v>
      </c>
      <c r="Q169" s="85">
        <v>-136309</v>
      </c>
    </row>
    <row r="170" spans="1:17" ht="12" customHeight="1">
      <c r="A170" s="411">
        <v>2351</v>
      </c>
      <c r="B170" s="415" t="s">
        <v>156</v>
      </c>
      <c r="C170" s="67">
        <v>830962</v>
      </c>
      <c r="D170" s="67">
        <v>14047</v>
      </c>
      <c r="E170" s="67">
        <v>17767</v>
      </c>
      <c r="F170" s="67">
        <v>159916</v>
      </c>
      <c r="G170" s="67">
        <v>391708</v>
      </c>
      <c r="H170" s="67">
        <v>583438</v>
      </c>
      <c r="I170" s="67"/>
      <c r="J170" s="67">
        <v>150446</v>
      </c>
      <c r="K170" s="67">
        <v>783876</v>
      </c>
      <c r="L170" s="67">
        <v>15579</v>
      </c>
      <c r="M170" s="67">
        <v>949901</v>
      </c>
      <c r="N170" s="68"/>
      <c r="O170" s="68">
        <v>-226863</v>
      </c>
      <c r="P170" s="68">
        <v>90826</v>
      </c>
      <c r="Q170" s="68">
        <v>-136037</v>
      </c>
    </row>
    <row r="171" spans="1:17" ht="12" customHeight="1">
      <c r="A171" s="413">
        <v>2334</v>
      </c>
      <c r="B171" s="414" t="s">
        <v>157</v>
      </c>
      <c r="C171" s="84">
        <v>568956</v>
      </c>
      <c r="D171" s="84">
        <v>9618</v>
      </c>
      <c r="E171" s="84">
        <v>12165</v>
      </c>
      <c r="F171" s="84">
        <v>109494</v>
      </c>
      <c r="G171" s="84">
        <v>218900</v>
      </c>
      <c r="H171" s="84">
        <v>350177</v>
      </c>
      <c r="I171" s="84"/>
      <c r="J171" s="84">
        <v>103010</v>
      </c>
      <c r="K171" s="84">
        <v>536716</v>
      </c>
      <c r="L171" s="251">
        <v>26307</v>
      </c>
      <c r="M171" s="84">
        <v>666033</v>
      </c>
      <c r="N171" s="85"/>
      <c r="O171" s="85">
        <v>-155332</v>
      </c>
      <c r="P171" s="85">
        <v>62405</v>
      </c>
      <c r="Q171" s="85">
        <v>-92927</v>
      </c>
    </row>
    <row r="172" spans="1:17" ht="12" customHeight="1">
      <c r="A172" s="411">
        <v>30089</v>
      </c>
      <c r="B172" s="415" t="s">
        <v>158</v>
      </c>
      <c r="C172" s="67">
        <v>1599007</v>
      </c>
      <c r="D172" s="67">
        <v>27031</v>
      </c>
      <c r="E172" s="67">
        <v>34189</v>
      </c>
      <c r="F172" s="67">
        <v>307723</v>
      </c>
      <c r="G172" s="67">
        <v>370820</v>
      </c>
      <c r="H172" s="67">
        <v>739763</v>
      </c>
      <c r="I172" s="67"/>
      <c r="J172" s="67">
        <v>289501</v>
      </c>
      <c r="K172" s="67">
        <v>1508399</v>
      </c>
      <c r="L172" s="250">
        <v>146750</v>
      </c>
      <c r="M172" s="67">
        <v>1944650</v>
      </c>
      <c r="N172" s="68"/>
      <c r="O172" s="68">
        <v>-436548</v>
      </c>
      <c r="P172" s="68">
        <v>38083</v>
      </c>
      <c r="Q172" s="68">
        <v>-398465</v>
      </c>
    </row>
    <row r="173" spans="1:17" ht="12" customHeight="1">
      <c r="A173" s="413">
        <v>9324</v>
      </c>
      <c r="B173" s="414" t="s">
        <v>159</v>
      </c>
      <c r="C173" s="84">
        <v>221285</v>
      </c>
      <c r="D173" s="84">
        <v>3741</v>
      </c>
      <c r="E173" s="84">
        <v>4731</v>
      </c>
      <c r="F173" s="84">
        <v>42585</v>
      </c>
      <c r="G173" s="84">
        <v>120573</v>
      </c>
      <c r="H173" s="84">
        <v>171630</v>
      </c>
      <c r="I173" s="84"/>
      <c r="J173" s="84">
        <v>40064</v>
      </c>
      <c r="K173" s="84">
        <v>208746</v>
      </c>
      <c r="L173" s="84">
        <v>35441</v>
      </c>
      <c r="M173" s="84">
        <v>284251</v>
      </c>
      <c r="N173" s="85"/>
      <c r="O173" s="85">
        <v>-60413</v>
      </c>
      <c r="P173" s="85">
        <v>26826</v>
      </c>
      <c r="Q173" s="85">
        <v>-33587</v>
      </c>
    </row>
    <row r="174" spans="1:17" ht="12" customHeight="1">
      <c r="A174" s="411">
        <v>22066</v>
      </c>
      <c r="B174" s="415" t="s">
        <v>160</v>
      </c>
      <c r="C174" s="67">
        <v>5927112</v>
      </c>
      <c r="D174" s="67">
        <v>100198</v>
      </c>
      <c r="E174" s="67">
        <v>126730</v>
      </c>
      <c r="F174" s="67">
        <v>1140652</v>
      </c>
      <c r="G174" s="67">
        <v>1532201</v>
      </c>
      <c r="H174" s="67">
        <v>2899781</v>
      </c>
      <c r="I174" s="67"/>
      <c r="J174" s="67">
        <v>1073106</v>
      </c>
      <c r="K174" s="67">
        <v>5591252</v>
      </c>
      <c r="L174" s="67">
        <v>237523</v>
      </c>
      <c r="M174" s="67">
        <v>6901881</v>
      </c>
      <c r="N174" s="68"/>
      <c r="O174" s="68">
        <v>-1618172</v>
      </c>
      <c r="P174" s="68">
        <v>178340</v>
      </c>
      <c r="Q174" s="68">
        <v>-1439832</v>
      </c>
    </row>
    <row r="175" spans="1:17" ht="12" customHeight="1">
      <c r="A175" s="413">
        <v>16356</v>
      </c>
      <c r="B175" s="414" t="s">
        <v>161</v>
      </c>
      <c r="C175" s="84">
        <v>360487</v>
      </c>
      <c r="D175" s="84">
        <v>6094</v>
      </c>
      <c r="E175" s="84">
        <v>7708</v>
      </c>
      <c r="F175" s="84">
        <v>69375</v>
      </c>
      <c r="G175" s="84">
        <v>109117</v>
      </c>
      <c r="H175" s="84">
        <v>192294</v>
      </c>
      <c r="I175" s="84"/>
      <c r="J175" s="84">
        <v>65266</v>
      </c>
      <c r="K175" s="84">
        <v>340060</v>
      </c>
      <c r="L175" s="251">
        <v>22342</v>
      </c>
      <c r="M175" s="84">
        <v>427668</v>
      </c>
      <c r="N175" s="85"/>
      <c r="O175" s="85">
        <v>-98417</v>
      </c>
      <c r="P175" s="85">
        <v>20638</v>
      </c>
      <c r="Q175" s="85">
        <v>-77779</v>
      </c>
    </row>
    <row r="176" spans="1:17" ht="12" customHeight="1">
      <c r="A176" s="411">
        <v>31091</v>
      </c>
      <c r="B176" s="415" t="s">
        <v>162</v>
      </c>
      <c r="C176" s="67">
        <v>358540</v>
      </c>
      <c r="D176" s="67">
        <v>6061</v>
      </c>
      <c r="E176" s="67">
        <v>7666</v>
      </c>
      <c r="F176" s="67">
        <v>69000</v>
      </c>
      <c r="G176" s="67">
        <v>198556</v>
      </c>
      <c r="H176" s="67">
        <v>281283</v>
      </c>
      <c r="I176" s="67"/>
      <c r="J176" s="67">
        <v>64914</v>
      </c>
      <c r="K176" s="67">
        <v>338223</v>
      </c>
      <c r="L176" s="250">
        <v>44762</v>
      </c>
      <c r="M176" s="67">
        <v>447899</v>
      </c>
      <c r="N176" s="68"/>
      <c r="O176" s="68">
        <v>-97886</v>
      </c>
      <c r="P176" s="68">
        <v>32661</v>
      </c>
      <c r="Q176" s="68">
        <v>-65225</v>
      </c>
    </row>
    <row r="177" spans="1:17" ht="12" customHeight="1">
      <c r="A177" s="413">
        <v>2342</v>
      </c>
      <c r="B177" s="414" t="s">
        <v>163</v>
      </c>
      <c r="C177" s="84">
        <v>630730</v>
      </c>
      <c r="D177" s="84">
        <v>10663</v>
      </c>
      <c r="E177" s="84">
        <v>13486</v>
      </c>
      <c r="F177" s="84">
        <v>121382</v>
      </c>
      <c r="G177" s="84">
        <v>347514</v>
      </c>
      <c r="H177" s="84">
        <v>493045</v>
      </c>
      <c r="I177" s="84"/>
      <c r="J177" s="84">
        <v>114194</v>
      </c>
      <c r="K177" s="84">
        <v>594990</v>
      </c>
      <c r="L177" s="84">
        <v>0</v>
      </c>
      <c r="M177" s="84">
        <v>709184</v>
      </c>
      <c r="N177" s="85"/>
      <c r="O177" s="85">
        <v>-172197</v>
      </c>
      <c r="P177" s="85">
        <v>96065</v>
      </c>
      <c r="Q177" s="85">
        <v>-76132</v>
      </c>
    </row>
    <row r="178" spans="1:17" ht="12" customHeight="1">
      <c r="A178" s="411">
        <v>22067</v>
      </c>
      <c r="B178" s="415" t="s">
        <v>164</v>
      </c>
      <c r="C178" s="67">
        <v>903500</v>
      </c>
      <c r="D178" s="67">
        <v>15274</v>
      </c>
      <c r="E178" s="67">
        <v>19318</v>
      </c>
      <c r="F178" s="67">
        <v>173875</v>
      </c>
      <c r="G178" s="67">
        <v>463093</v>
      </c>
      <c r="H178" s="67">
        <v>671560</v>
      </c>
      <c r="I178" s="67"/>
      <c r="J178" s="67">
        <v>163579</v>
      </c>
      <c r="K178" s="67">
        <v>852303</v>
      </c>
      <c r="L178" s="67">
        <v>165648</v>
      </c>
      <c r="M178" s="67">
        <v>1181530</v>
      </c>
      <c r="N178" s="68"/>
      <c r="O178" s="68">
        <v>-246666</v>
      </c>
      <c r="P178" s="68">
        <v>71787</v>
      </c>
      <c r="Q178" s="68">
        <v>-174879</v>
      </c>
    </row>
    <row r="179" spans="1:17" ht="12" customHeight="1">
      <c r="A179" s="413">
        <v>32112</v>
      </c>
      <c r="B179" s="414" t="s">
        <v>165</v>
      </c>
      <c r="C179" s="84">
        <v>359699</v>
      </c>
      <c r="D179" s="84">
        <v>6081</v>
      </c>
      <c r="E179" s="84">
        <v>7691</v>
      </c>
      <c r="F179" s="84">
        <v>69223</v>
      </c>
      <c r="G179" s="84">
        <v>30650</v>
      </c>
      <c r="H179" s="84">
        <v>113645</v>
      </c>
      <c r="I179" s="84"/>
      <c r="J179" s="84">
        <v>65124</v>
      </c>
      <c r="K179" s="84">
        <v>339317</v>
      </c>
      <c r="L179" s="84">
        <v>173997</v>
      </c>
      <c r="M179" s="84">
        <v>578438</v>
      </c>
      <c r="N179" s="85"/>
      <c r="O179" s="85">
        <v>-98202</v>
      </c>
      <c r="P179" s="85">
        <v>-47657</v>
      </c>
      <c r="Q179" s="85">
        <v>-145859</v>
      </c>
    </row>
    <row r="180" spans="1:17" ht="12" customHeight="1">
      <c r="A180" s="411">
        <v>2354</v>
      </c>
      <c r="B180" s="415" t="s">
        <v>166</v>
      </c>
      <c r="C180" s="67">
        <v>1252450</v>
      </c>
      <c r="D180" s="67">
        <v>21173</v>
      </c>
      <c r="E180" s="67">
        <v>26779</v>
      </c>
      <c r="F180" s="67">
        <v>241030</v>
      </c>
      <c r="G180" s="67">
        <v>303979</v>
      </c>
      <c r="H180" s="67">
        <v>592961</v>
      </c>
      <c r="I180" s="67"/>
      <c r="J180" s="67">
        <v>226757</v>
      </c>
      <c r="K180" s="67">
        <v>1181480</v>
      </c>
      <c r="L180" s="67">
        <v>164432</v>
      </c>
      <c r="M180" s="67">
        <v>1572669</v>
      </c>
      <c r="N180" s="68"/>
      <c r="O180" s="68">
        <v>-341934</v>
      </c>
      <c r="P180" s="68">
        <v>71965</v>
      </c>
      <c r="Q180" s="68">
        <v>-269969</v>
      </c>
    </row>
    <row r="181" spans="1:17" ht="12" customHeight="1">
      <c r="A181" s="413">
        <v>2148</v>
      </c>
      <c r="B181" s="414" t="s">
        <v>167</v>
      </c>
      <c r="C181" s="84">
        <v>373660</v>
      </c>
      <c r="D181" s="84">
        <v>6317</v>
      </c>
      <c r="E181" s="84">
        <v>7989</v>
      </c>
      <c r="F181" s="84">
        <v>71909</v>
      </c>
      <c r="G181" s="84">
        <v>3789</v>
      </c>
      <c r="H181" s="84">
        <v>90004</v>
      </c>
      <c r="I181" s="84"/>
      <c r="J181" s="84">
        <v>67651</v>
      </c>
      <c r="K181" s="84">
        <v>352486</v>
      </c>
      <c r="L181" s="251">
        <v>91384</v>
      </c>
      <c r="M181" s="84">
        <v>511521</v>
      </c>
      <c r="N181" s="85"/>
      <c r="O181" s="85">
        <v>-102013</v>
      </c>
      <c r="P181" s="85">
        <v>-26319</v>
      </c>
      <c r="Q181" s="85">
        <v>-128332</v>
      </c>
    </row>
    <row r="182" spans="1:17" ht="12" customHeight="1">
      <c r="A182" s="411">
        <v>1418</v>
      </c>
      <c r="B182" s="415" t="s">
        <v>168</v>
      </c>
      <c r="C182" s="67">
        <v>1709783</v>
      </c>
      <c r="D182" s="67">
        <v>28904</v>
      </c>
      <c r="E182" s="67">
        <v>36558</v>
      </c>
      <c r="F182" s="67">
        <v>329042</v>
      </c>
      <c r="G182" s="67">
        <v>1062977</v>
      </c>
      <c r="H182" s="67">
        <v>1457481</v>
      </c>
      <c r="I182" s="67"/>
      <c r="J182" s="67">
        <v>309557</v>
      </c>
      <c r="K182" s="67">
        <v>1612898</v>
      </c>
      <c r="L182" s="250">
        <v>137285</v>
      </c>
      <c r="M182" s="67">
        <v>2059740</v>
      </c>
      <c r="N182" s="68"/>
      <c r="O182" s="68">
        <v>-466791</v>
      </c>
      <c r="P182" s="68">
        <v>246665</v>
      </c>
      <c r="Q182" s="68">
        <v>-220126</v>
      </c>
    </row>
    <row r="183" spans="1:17" ht="12" customHeight="1">
      <c r="A183" s="413">
        <v>12102</v>
      </c>
      <c r="B183" s="414" t="s">
        <v>169</v>
      </c>
      <c r="C183" s="84">
        <v>9448667</v>
      </c>
      <c r="D183" s="84">
        <v>159730</v>
      </c>
      <c r="E183" s="84">
        <v>202026</v>
      </c>
      <c r="F183" s="84">
        <v>1818363</v>
      </c>
      <c r="G183" s="84">
        <v>1654228</v>
      </c>
      <c r="H183" s="84">
        <v>3834347</v>
      </c>
      <c r="I183" s="84"/>
      <c r="J183" s="84">
        <v>1710685</v>
      </c>
      <c r="K183" s="84">
        <v>8913259</v>
      </c>
      <c r="L183" s="251">
        <v>687196</v>
      </c>
      <c r="M183" s="84">
        <v>11311140</v>
      </c>
      <c r="N183" s="85"/>
      <c r="O183" s="85">
        <v>-2579598</v>
      </c>
      <c r="P183" s="85">
        <v>-155125</v>
      </c>
      <c r="Q183" s="85">
        <v>-2734723</v>
      </c>
    </row>
    <row r="184" spans="1:17" ht="12" customHeight="1">
      <c r="A184" s="411">
        <v>2414</v>
      </c>
      <c r="B184" s="415" t="s">
        <v>170</v>
      </c>
      <c r="C184" s="67">
        <v>897062</v>
      </c>
      <c r="D184" s="67">
        <v>15165</v>
      </c>
      <c r="E184" s="67">
        <v>19181</v>
      </c>
      <c r="F184" s="67">
        <v>172637</v>
      </c>
      <c r="G184" s="67">
        <v>733007</v>
      </c>
      <c r="H184" s="67">
        <v>939990</v>
      </c>
      <c r="I184" s="67"/>
      <c r="J184" s="67">
        <v>162414</v>
      </c>
      <c r="K184" s="67">
        <v>846230</v>
      </c>
      <c r="L184" s="250">
        <v>0</v>
      </c>
      <c r="M184" s="67">
        <v>1008644</v>
      </c>
      <c r="N184" s="68"/>
      <c r="O184" s="68">
        <v>-244909</v>
      </c>
      <c r="P184" s="68">
        <v>269781</v>
      </c>
      <c r="Q184" s="68">
        <v>24872</v>
      </c>
    </row>
    <row r="185" spans="1:17" ht="12" customHeight="1">
      <c r="A185" s="413">
        <v>6124</v>
      </c>
      <c r="B185" s="414" t="s">
        <v>171</v>
      </c>
      <c r="C185" s="84">
        <v>4410530</v>
      </c>
      <c r="D185" s="84">
        <v>74560</v>
      </c>
      <c r="E185" s="84">
        <v>94304</v>
      </c>
      <c r="F185" s="84">
        <v>848791</v>
      </c>
      <c r="G185" s="84">
        <v>489078</v>
      </c>
      <c r="H185" s="84">
        <v>1506733</v>
      </c>
      <c r="I185" s="84"/>
      <c r="J185" s="84">
        <v>798528</v>
      </c>
      <c r="K185" s="84">
        <v>4160607</v>
      </c>
      <c r="L185" s="251">
        <v>983541</v>
      </c>
      <c r="M185" s="84">
        <v>5942676</v>
      </c>
      <c r="N185" s="85"/>
      <c r="O185" s="85">
        <v>-1204127</v>
      </c>
      <c r="P185" s="85">
        <v>-502260</v>
      </c>
      <c r="Q185" s="85">
        <v>-1706387</v>
      </c>
    </row>
    <row r="186" spans="1:17" ht="12" customHeight="1">
      <c r="A186" s="411">
        <v>4097</v>
      </c>
      <c r="B186" s="415" t="s">
        <v>172</v>
      </c>
      <c r="C186" s="67">
        <v>5032205</v>
      </c>
      <c r="D186" s="67">
        <v>85070</v>
      </c>
      <c r="E186" s="67">
        <v>107596</v>
      </c>
      <c r="F186" s="67">
        <v>968431</v>
      </c>
      <c r="G186" s="67">
        <v>80237</v>
      </c>
      <c r="H186" s="67">
        <v>1241334</v>
      </c>
      <c r="I186" s="67"/>
      <c r="J186" s="67">
        <v>911083</v>
      </c>
      <c r="K186" s="67">
        <v>4747056</v>
      </c>
      <c r="L186" s="67">
        <v>447125</v>
      </c>
      <c r="M186" s="67">
        <v>6105264</v>
      </c>
      <c r="N186" s="68"/>
      <c r="O186" s="68">
        <v>-1373852</v>
      </c>
      <c r="P186" s="68">
        <v>-160151</v>
      </c>
      <c r="Q186" s="68">
        <v>-1534003</v>
      </c>
    </row>
    <row r="187" spans="1:17" ht="12" customHeight="1">
      <c r="A187" s="413">
        <v>1416</v>
      </c>
      <c r="B187" s="414" t="s">
        <v>173</v>
      </c>
      <c r="C187" s="84">
        <v>702628</v>
      </c>
      <c r="D187" s="84">
        <v>11878</v>
      </c>
      <c r="E187" s="84">
        <v>15023</v>
      </c>
      <c r="F187" s="84">
        <v>135218</v>
      </c>
      <c r="G187" s="84">
        <v>255656</v>
      </c>
      <c r="H187" s="84">
        <v>417775</v>
      </c>
      <c r="I187" s="84"/>
      <c r="J187" s="84">
        <v>127211</v>
      </c>
      <c r="K187" s="84">
        <v>662814</v>
      </c>
      <c r="L187" s="251">
        <v>0</v>
      </c>
      <c r="M187" s="84">
        <v>790025</v>
      </c>
      <c r="N187" s="85"/>
      <c r="O187" s="85">
        <v>-191826</v>
      </c>
      <c r="P187" s="85">
        <v>103460</v>
      </c>
      <c r="Q187" s="85">
        <v>-88366</v>
      </c>
    </row>
    <row r="188" spans="1:17" ht="12" customHeight="1">
      <c r="A188" s="411">
        <v>1094</v>
      </c>
      <c r="B188" s="415" t="s">
        <v>174</v>
      </c>
      <c r="C188" s="67">
        <v>3281404</v>
      </c>
      <c r="D188" s="67">
        <v>55472</v>
      </c>
      <c r="E188" s="67">
        <v>70161</v>
      </c>
      <c r="F188" s="67">
        <v>631495</v>
      </c>
      <c r="G188" s="67">
        <v>68343</v>
      </c>
      <c r="H188" s="67">
        <v>825471</v>
      </c>
      <c r="I188" s="67"/>
      <c r="J188" s="67">
        <v>594100</v>
      </c>
      <c r="K188" s="67">
        <v>3095463</v>
      </c>
      <c r="L188" s="250">
        <v>1150713</v>
      </c>
      <c r="M188" s="67">
        <v>4840276</v>
      </c>
      <c r="N188" s="68"/>
      <c r="O188" s="68">
        <v>-895862</v>
      </c>
      <c r="P188" s="68">
        <v>-238488</v>
      </c>
      <c r="Q188" s="68">
        <v>-1134350</v>
      </c>
    </row>
    <row r="189" spans="1:17" ht="12" customHeight="1">
      <c r="A189" s="413">
        <v>32111</v>
      </c>
      <c r="B189" s="414" t="s">
        <v>175</v>
      </c>
      <c r="C189" s="84">
        <v>3495775</v>
      </c>
      <c r="D189" s="84">
        <v>59096</v>
      </c>
      <c r="E189" s="84">
        <v>74745</v>
      </c>
      <c r="F189" s="84">
        <v>672750</v>
      </c>
      <c r="G189" s="84">
        <v>134979</v>
      </c>
      <c r="H189" s="84">
        <v>941570</v>
      </c>
      <c r="I189" s="84"/>
      <c r="J189" s="84">
        <v>632912</v>
      </c>
      <c r="K189" s="84">
        <v>3297687</v>
      </c>
      <c r="L189" s="84">
        <v>278535</v>
      </c>
      <c r="M189" s="84">
        <v>4209134</v>
      </c>
      <c r="N189" s="85"/>
      <c r="O189" s="85">
        <v>-954388</v>
      </c>
      <c r="P189" s="85">
        <v>-40521</v>
      </c>
      <c r="Q189" s="85">
        <v>-994909</v>
      </c>
    </row>
    <row r="190" spans="1:17" ht="12" customHeight="1">
      <c r="A190" s="411">
        <v>2520</v>
      </c>
      <c r="B190" s="415" t="s">
        <v>176</v>
      </c>
      <c r="C190" s="67">
        <v>524994</v>
      </c>
      <c r="D190" s="67">
        <v>8875</v>
      </c>
      <c r="E190" s="67">
        <v>11225</v>
      </c>
      <c r="F190" s="67">
        <v>101033</v>
      </c>
      <c r="G190" s="67">
        <v>180969</v>
      </c>
      <c r="H190" s="67">
        <v>302102</v>
      </c>
      <c r="I190" s="67"/>
      <c r="J190" s="67">
        <v>95050</v>
      </c>
      <c r="K190" s="67">
        <v>495245</v>
      </c>
      <c r="L190" s="67">
        <v>88983</v>
      </c>
      <c r="M190" s="67">
        <v>679278</v>
      </c>
      <c r="N190" s="68"/>
      <c r="O190" s="68">
        <v>-143329</v>
      </c>
      <c r="P190" s="68">
        <v>-44365</v>
      </c>
      <c r="Q190" s="68">
        <v>-187694</v>
      </c>
    </row>
    <row r="191" spans="1:17" ht="12" customHeight="1">
      <c r="A191" s="413">
        <v>3450</v>
      </c>
      <c r="B191" s="414" t="s">
        <v>177</v>
      </c>
      <c r="C191" s="84">
        <v>947507</v>
      </c>
      <c r="D191" s="84">
        <v>16018</v>
      </c>
      <c r="E191" s="84">
        <v>20259</v>
      </c>
      <c r="F191" s="84">
        <v>182344</v>
      </c>
      <c r="G191" s="84">
        <v>7965</v>
      </c>
      <c r="H191" s="84">
        <v>226586</v>
      </c>
      <c r="I191" s="84"/>
      <c r="J191" s="84">
        <v>171547</v>
      </c>
      <c r="K191" s="84">
        <v>893817</v>
      </c>
      <c r="L191" s="251">
        <v>65499</v>
      </c>
      <c r="M191" s="84">
        <v>1130863</v>
      </c>
      <c r="N191" s="85"/>
      <c r="O191" s="85">
        <v>-258681</v>
      </c>
      <c r="P191" s="85">
        <v>24</v>
      </c>
      <c r="Q191" s="85">
        <v>-258657</v>
      </c>
    </row>
    <row r="192" spans="1:17" ht="12" customHeight="1">
      <c r="A192" s="411">
        <v>4310</v>
      </c>
      <c r="B192" s="415" t="s">
        <v>178</v>
      </c>
      <c r="C192" s="67">
        <v>423182</v>
      </c>
      <c r="D192" s="67">
        <v>7154</v>
      </c>
      <c r="E192" s="67">
        <v>9048</v>
      </c>
      <c r="F192" s="67">
        <v>81440</v>
      </c>
      <c r="G192" s="67">
        <v>18467</v>
      </c>
      <c r="H192" s="67">
        <v>116109</v>
      </c>
      <c r="I192" s="67"/>
      <c r="J192" s="67">
        <v>76617</v>
      </c>
      <c r="K192" s="67">
        <v>399203</v>
      </c>
      <c r="L192" s="250">
        <v>290028</v>
      </c>
      <c r="M192" s="67">
        <v>765848</v>
      </c>
      <c r="N192" s="68"/>
      <c r="O192" s="68">
        <v>-115534</v>
      </c>
      <c r="P192" s="68">
        <v>-23784</v>
      </c>
      <c r="Q192" s="68">
        <v>-139318</v>
      </c>
    </row>
    <row r="193" spans="1:17" ht="12" customHeight="1">
      <c r="A193" s="413">
        <v>2328</v>
      </c>
      <c r="B193" s="414" t="s">
        <v>179</v>
      </c>
      <c r="C193" s="84">
        <v>908466</v>
      </c>
      <c r="D193" s="84">
        <v>15358</v>
      </c>
      <c r="E193" s="84">
        <v>19424</v>
      </c>
      <c r="F193" s="84">
        <v>174831</v>
      </c>
      <c r="G193" s="84">
        <v>168597</v>
      </c>
      <c r="H193" s="84">
        <v>378210</v>
      </c>
      <c r="I193" s="84"/>
      <c r="J193" s="84">
        <v>164478</v>
      </c>
      <c r="K193" s="84">
        <v>856987</v>
      </c>
      <c r="L193" s="84">
        <v>64218</v>
      </c>
      <c r="M193" s="84">
        <v>1085683</v>
      </c>
      <c r="N193" s="85"/>
      <c r="O193" s="85">
        <v>-248022</v>
      </c>
      <c r="P193" s="85">
        <v>-5307</v>
      </c>
      <c r="Q193" s="85">
        <v>-253329</v>
      </c>
    </row>
    <row r="194" spans="1:17" ht="12" customHeight="1">
      <c r="A194" s="411">
        <v>12151</v>
      </c>
      <c r="B194" s="415" t="s">
        <v>180</v>
      </c>
      <c r="C194" s="67">
        <v>278033</v>
      </c>
      <c r="D194" s="67">
        <v>4700</v>
      </c>
      <c r="E194" s="67">
        <v>5945</v>
      </c>
      <c r="F194" s="67">
        <v>53507</v>
      </c>
      <c r="G194" s="67">
        <v>26993</v>
      </c>
      <c r="H194" s="67">
        <v>91145</v>
      </c>
      <c r="I194" s="67"/>
      <c r="J194" s="67">
        <v>50338</v>
      </c>
      <c r="K194" s="67">
        <v>262278</v>
      </c>
      <c r="L194" s="67">
        <v>135041</v>
      </c>
      <c r="M194" s="67">
        <v>447657</v>
      </c>
      <c r="N194" s="68"/>
      <c r="O194" s="68">
        <v>-75906</v>
      </c>
      <c r="P194" s="68">
        <v>-95668</v>
      </c>
      <c r="Q194" s="68">
        <v>-171574</v>
      </c>
    </row>
    <row r="195" spans="1:17" ht="12" customHeight="1">
      <c r="A195" s="413">
        <v>32110</v>
      </c>
      <c r="B195" s="414" t="s">
        <v>181</v>
      </c>
      <c r="C195" s="84">
        <v>3431355</v>
      </c>
      <c r="D195" s="84">
        <v>58007</v>
      </c>
      <c r="E195" s="84">
        <v>73367</v>
      </c>
      <c r="F195" s="84">
        <v>660352</v>
      </c>
      <c r="G195" s="84">
        <v>712208</v>
      </c>
      <c r="H195" s="84">
        <v>1503934</v>
      </c>
      <c r="I195" s="84"/>
      <c r="J195" s="84">
        <v>621248</v>
      </c>
      <c r="K195" s="84">
        <v>3236918</v>
      </c>
      <c r="L195" s="84">
        <v>246005</v>
      </c>
      <c r="M195" s="84">
        <v>4104171</v>
      </c>
      <c r="N195" s="85"/>
      <c r="O195" s="85">
        <v>-936801</v>
      </c>
      <c r="P195" s="85">
        <v>220266</v>
      </c>
      <c r="Q195" s="85">
        <v>-716535</v>
      </c>
    </row>
    <row r="196" spans="1:17" ht="12" customHeight="1">
      <c r="A196" s="411">
        <v>4215</v>
      </c>
      <c r="B196" s="415" t="s">
        <v>182</v>
      </c>
      <c r="C196" s="67">
        <v>529870</v>
      </c>
      <c r="D196" s="67">
        <v>8957</v>
      </c>
      <c r="E196" s="67">
        <v>11329</v>
      </c>
      <c r="F196" s="67">
        <v>101972</v>
      </c>
      <c r="G196" s="67">
        <v>982040</v>
      </c>
      <c r="H196" s="67">
        <v>1104298</v>
      </c>
      <c r="I196" s="67"/>
      <c r="J196" s="67">
        <v>95933</v>
      </c>
      <c r="K196" s="67">
        <v>499845</v>
      </c>
      <c r="L196" s="67">
        <v>244617</v>
      </c>
      <c r="M196" s="67">
        <v>840395</v>
      </c>
      <c r="N196" s="68"/>
      <c r="O196" s="68">
        <v>-144661</v>
      </c>
      <c r="P196" s="68">
        <v>103923</v>
      </c>
      <c r="Q196" s="68">
        <v>-40738</v>
      </c>
    </row>
    <row r="197" spans="1:17" ht="12" customHeight="1">
      <c r="A197" s="413">
        <v>2870</v>
      </c>
      <c r="B197" s="414" t="s">
        <v>183</v>
      </c>
      <c r="C197" s="84">
        <v>578977</v>
      </c>
      <c r="D197" s="84">
        <v>9788</v>
      </c>
      <c r="E197" s="84">
        <v>12379</v>
      </c>
      <c r="F197" s="84">
        <v>111422</v>
      </c>
      <c r="G197" s="84">
        <v>61354</v>
      </c>
      <c r="H197" s="84">
        <v>194943</v>
      </c>
      <c r="I197" s="84"/>
      <c r="J197" s="84">
        <v>104824</v>
      </c>
      <c r="K197" s="84">
        <v>546169</v>
      </c>
      <c r="L197" s="84">
        <v>35163</v>
      </c>
      <c r="M197" s="84">
        <v>686156</v>
      </c>
      <c r="N197" s="85"/>
      <c r="O197" s="85">
        <v>-158068</v>
      </c>
      <c r="P197" s="85">
        <v>19870</v>
      </c>
      <c r="Q197" s="85">
        <v>-138198</v>
      </c>
    </row>
    <row r="198" spans="1:17" ht="12" customHeight="1">
      <c r="A198" s="411">
        <v>29150</v>
      </c>
      <c r="B198" s="415" t="s">
        <v>184</v>
      </c>
      <c r="C198" s="67">
        <v>146725</v>
      </c>
      <c r="D198" s="67">
        <v>2480</v>
      </c>
      <c r="E198" s="67">
        <v>3137</v>
      </c>
      <c r="F198" s="67">
        <v>28237</v>
      </c>
      <c r="G198" s="67">
        <v>765</v>
      </c>
      <c r="H198" s="67">
        <v>34619</v>
      </c>
      <c r="I198" s="67"/>
      <c r="J198" s="67">
        <v>26565</v>
      </c>
      <c r="K198" s="67">
        <v>138411</v>
      </c>
      <c r="L198" s="67">
        <v>88977</v>
      </c>
      <c r="M198" s="67">
        <v>253953</v>
      </c>
      <c r="N198" s="68"/>
      <c r="O198" s="68">
        <v>-40058</v>
      </c>
      <c r="P198" s="68">
        <v>-897</v>
      </c>
      <c r="Q198" s="68">
        <v>-40955</v>
      </c>
    </row>
    <row r="199" spans="1:17" ht="12" customHeight="1">
      <c r="A199" s="413">
        <v>32118</v>
      </c>
      <c r="B199" s="414" t="s">
        <v>186</v>
      </c>
      <c r="C199" s="84">
        <v>2175010</v>
      </c>
      <c r="D199" s="84">
        <v>36769</v>
      </c>
      <c r="E199" s="84">
        <v>46505</v>
      </c>
      <c r="F199" s="84">
        <v>418573</v>
      </c>
      <c r="G199" s="84">
        <v>2420280</v>
      </c>
      <c r="H199" s="84">
        <v>2922127</v>
      </c>
      <c r="I199" s="84"/>
      <c r="J199" s="84">
        <v>393786</v>
      </c>
      <c r="K199" s="84">
        <v>2051763</v>
      </c>
      <c r="L199" s="84">
        <v>0</v>
      </c>
      <c r="M199" s="84">
        <v>2445549</v>
      </c>
      <c r="N199" s="85"/>
      <c r="O199" s="85">
        <v>-593803</v>
      </c>
      <c r="P199" s="85">
        <v>885286</v>
      </c>
      <c r="Q199" s="85">
        <v>291483</v>
      </c>
    </row>
    <row r="200" spans="1:17" ht="12" customHeight="1">
      <c r="A200" s="411">
        <v>12039</v>
      </c>
      <c r="B200" s="415" t="s">
        <v>187</v>
      </c>
      <c r="C200" s="67">
        <v>1494995</v>
      </c>
      <c r="D200" s="67">
        <v>25273</v>
      </c>
      <c r="E200" s="67">
        <v>31965</v>
      </c>
      <c r="F200" s="67">
        <v>287707</v>
      </c>
      <c r="G200" s="67">
        <v>31007</v>
      </c>
      <c r="H200" s="67">
        <v>375952</v>
      </c>
      <c r="I200" s="67"/>
      <c r="J200" s="67">
        <v>270669</v>
      </c>
      <c r="K200" s="67">
        <v>1410281</v>
      </c>
      <c r="L200" s="67">
        <v>244474</v>
      </c>
      <c r="M200" s="67">
        <v>1925424</v>
      </c>
      <c r="N200" s="68"/>
      <c r="O200" s="68">
        <v>-408151</v>
      </c>
      <c r="P200" s="68">
        <v>-94011</v>
      </c>
      <c r="Q200" s="68">
        <v>-502162</v>
      </c>
    </row>
    <row r="201" spans="1:17" ht="12" customHeight="1">
      <c r="A201" s="413">
        <v>12150</v>
      </c>
      <c r="B201" s="414" t="s">
        <v>188</v>
      </c>
      <c r="C201" s="84">
        <v>288351</v>
      </c>
      <c r="D201" s="84">
        <v>4875</v>
      </c>
      <c r="E201" s="84">
        <v>6165</v>
      </c>
      <c r="F201" s="84">
        <v>55492</v>
      </c>
      <c r="G201" s="84">
        <v>51070</v>
      </c>
      <c r="H201" s="84">
        <v>117602</v>
      </c>
      <c r="I201" s="84"/>
      <c r="J201" s="84">
        <v>52206</v>
      </c>
      <c r="K201" s="84">
        <v>272012</v>
      </c>
      <c r="L201" s="84">
        <v>67206</v>
      </c>
      <c r="M201" s="84">
        <v>391424</v>
      </c>
      <c r="N201" s="85"/>
      <c r="O201" s="85">
        <v>-78723</v>
      </c>
      <c r="P201" s="85">
        <v>34621</v>
      </c>
      <c r="Q201" s="85">
        <v>-44102</v>
      </c>
    </row>
    <row r="202" spans="1:17" ht="12" customHeight="1">
      <c r="A202" s="411">
        <v>20060</v>
      </c>
      <c r="B202" s="415" t="s">
        <v>189</v>
      </c>
      <c r="C202" s="67">
        <v>1117485</v>
      </c>
      <c r="D202" s="67">
        <v>18891</v>
      </c>
      <c r="E202" s="67">
        <v>23893</v>
      </c>
      <c r="F202" s="67">
        <v>215056</v>
      </c>
      <c r="G202" s="67">
        <v>121648</v>
      </c>
      <c r="H202" s="67">
        <v>379488</v>
      </c>
      <c r="I202" s="67"/>
      <c r="J202" s="67">
        <v>202321</v>
      </c>
      <c r="K202" s="67">
        <v>1054163</v>
      </c>
      <c r="L202" s="67">
        <v>263276</v>
      </c>
      <c r="M202" s="67">
        <v>1519760</v>
      </c>
      <c r="N202" s="68"/>
      <c r="O202" s="68">
        <v>-305087</v>
      </c>
      <c r="P202" s="68">
        <v>47421</v>
      </c>
      <c r="Q202" s="68">
        <v>-257666</v>
      </c>
    </row>
    <row r="203" spans="1:17" ht="12" customHeight="1">
      <c r="A203" s="413">
        <v>1001</v>
      </c>
      <c r="B203" s="414" t="s">
        <v>190</v>
      </c>
      <c r="C203" s="416">
        <v>3650455</v>
      </c>
      <c r="D203" s="416">
        <v>61711</v>
      </c>
      <c r="E203" s="416">
        <v>78052</v>
      </c>
      <c r="F203" s="416">
        <v>702517</v>
      </c>
      <c r="G203" s="416">
        <v>1273374</v>
      </c>
      <c r="H203" s="416">
        <v>2115654</v>
      </c>
      <c r="I203" s="416"/>
      <c r="J203" s="416">
        <v>660916</v>
      </c>
      <c r="K203" s="416">
        <v>3443602</v>
      </c>
      <c r="L203" s="416">
        <v>1459246</v>
      </c>
      <c r="M203" s="416">
        <v>5563764</v>
      </c>
      <c r="N203" s="417"/>
      <c r="O203" s="417">
        <v>-996617</v>
      </c>
      <c r="P203" s="417">
        <v>-128660</v>
      </c>
      <c r="Q203" s="417">
        <v>-1125277</v>
      </c>
    </row>
    <row r="204" spans="1:17" ht="12" customHeight="1">
      <c r="A204" s="411">
        <v>11035</v>
      </c>
      <c r="B204" s="415" t="s">
        <v>191</v>
      </c>
      <c r="C204" s="67">
        <v>7140818</v>
      </c>
      <c r="D204" s="67">
        <v>120716</v>
      </c>
      <c r="E204" s="67">
        <v>152681</v>
      </c>
      <c r="F204" s="67">
        <v>1374226</v>
      </c>
      <c r="G204" s="67">
        <v>1642674</v>
      </c>
      <c r="H204" s="67">
        <v>3290297</v>
      </c>
      <c r="I204" s="67"/>
      <c r="J204" s="67">
        <v>1292848</v>
      </c>
      <c r="K204" s="67">
        <v>6736184</v>
      </c>
      <c r="L204" s="67">
        <v>219573</v>
      </c>
      <c r="M204" s="67">
        <v>8248605</v>
      </c>
      <c r="N204" s="68"/>
      <c r="O204" s="68">
        <v>-1949528</v>
      </c>
      <c r="P204" s="68">
        <v>534329</v>
      </c>
      <c r="Q204" s="68">
        <v>-1415199</v>
      </c>
    </row>
    <row r="205" spans="1:17" ht="12" customHeight="1">
      <c r="A205" s="413">
        <v>2320</v>
      </c>
      <c r="B205" s="414" t="s">
        <v>192</v>
      </c>
      <c r="C205" s="84">
        <v>844239</v>
      </c>
      <c r="D205" s="84">
        <v>14272</v>
      </c>
      <c r="E205" s="84">
        <v>18051</v>
      </c>
      <c r="F205" s="84">
        <v>162471</v>
      </c>
      <c r="G205" s="84">
        <v>171036</v>
      </c>
      <c r="H205" s="84">
        <v>365830</v>
      </c>
      <c r="I205" s="84"/>
      <c r="J205" s="84">
        <v>152850</v>
      </c>
      <c r="K205" s="84">
        <v>796400</v>
      </c>
      <c r="L205" s="84">
        <v>76609</v>
      </c>
      <c r="M205" s="84">
        <v>1025859</v>
      </c>
      <c r="N205" s="85"/>
      <c r="O205" s="85">
        <v>-230487</v>
      </c>
      <c r="P205" s="85">
        <v>13750</v>
      </c>
      <c r="Q205" s="85">
        <v>-216737</v>
      </c>
    </row>
    <row r="206" spans="1:17" ht="12" customHeight="1">
      <c r="A206" s="411">
        <v>28084</v>
      </c>
      <c r="B206" s="415" t="s">
        <v>193</v>
      </c>
      <c r="C206" s="67">
        <v>643962</v>
      </c>
      <c r="D206" s="67">
        <v>10886</v>
      </c>
      <c r="E206" s="67">
        <v>13769</v>
      </c>
      <c r="F206" s="67">
        <v>123928</v>
      </c>
      <c r="G206" s="67">
        <v>77157</v>
      </c>
      <c r="H206" s="67">
        <v>225740</v>
      </c>
      <c r="I206" s="67"/>
      <c r="J206" s="67">
        <v>116590</v>
      </c>
      <c r="K206" s="67">
        <v>607472</v>
      </c>
      <c r="L206" s="67">
        <v>39507</v>
      </c>
      <c r="M206" s="67">
        <v>763569</v>
      </c>
      <c r="N206" s="68"/>
      <c r="O206" s="68">
        <v>-175809</v>
      </c>
      <c r="P206" s="68">
        <v>16890</v>
      </c>
      <c r="Q206" s="68">
        <v>-158919</v>
      </c>
    </row>
    <row r="207" spans="1:17" ht="12" customHeight="1">
      <c r="A207" s="413">
        <v>20125</v>
      </c>
      <c r="B207" s="414" t="s">
        <v>194</v>
      </c>
      <c r="C207" s="84">
        <v>1076184</v>
      </c>
      <c r="D207" s="84">
        <v>18193</v>
      </c>
      <c r="E207" s="84">
        <v>23010</v>
      </c>
      <c r="F207" s="84">
        <v>207108</v>
      </c>
      <c r="G207" s="84">
        <v>588961</v>
      </c>
      <c r="H207" s="84">
        <v>837272</v>
      </c>
      <c r="I207" s="84"/>
      <c r="J207" s="84">
        <v>194843</v>
      </c>
      <c r="K207" s="84">
        <v>1015202</v>
      </c>
      <c r="L207" s="84">
        <v>303901</v>
      </c>
      <c r="M207" s="84">
        <v>1513946</v>
      </c>
      <c r="N207" s="85"/>
      <c r="O207" s="85">
        <v>-293811</v>
      </c>
      <c r="P207" s="85">
        <v>-67265</v>
      </c>
      <c r="Q207" s="85">
        <v>-361076</v>
      </c>
    </row>
    <row r="208" spans="1:17" ht="12" customHeight="1">
      <c r="A208" s="411">
        <v>7445</v>
      </c>
      <c r="B208" s="415" t="s">
        <v>411</v>
      </c>
      <c r="C208" s="67">
        <v>357885</v>
      </c>
      <c r="D208" s="67">
        <v>6050</v>
      </c>
      <c r="E208" s="67">
        <v>7652</v>
      </c>
      <c r="F208" s="67">
        <v>68874</v>
      </c>
      <c r="G208" s="67">
        <v>543177</v>
      </c>
      <c r="H208" s="67">
        <v>625753</v>
      </c>
      <c r="I208" s="67"/>
      <c r="J208" s="67">
        <v>64795</v>
      </c>
      <c r="K208" s="67">
        <v>337606</v>
      </c>
      <c r="L208" s="67">
        <v>0</v>
      </c>
      <c r="M208" s="67">
        <v>402401</v>
      </c>
      <c r="N208" s="68"/>
      <c r="O208" s="68">
        <v>-97707</v>
      </c>
      <c r="P208" s="68">
        <v>157996</v>
      </c>
      <c r="Q208" s="68">
        <v>60289</v>
      </c>
    </row>
    <row r="209" spans="1:17" ht="12" customHeight="1">
      <c r="A209" s="413">
        <v>9029</v>
      </c>
      <c r="B209" s="414" t="s">
        <v>196</v>
      </c>
      <c r="C209" s="84">
        <v>2108925</v>
      </c>
      <c r="D209" s="84">
        <v>35652</v>
      </c>
      <c r="E209" s="84">
        <v>45092</v>
      </c>
      <c r="F209" s="84">
        <v>405855</v>
      </c>
      <c r="G209" s="84">
        <v>611870</v>
      </c>
      <c r="H209" s="84">
        <v>1098469</v>
      </c>
      <c r="I209" s="84"/>
      <c r="J209" s="84">
        <v>381822</v>
      </c>
      <c r="K209" s="84">
        <v>1989423</v>
      </c>
      <c r="L209" s="84">
        <v>138471</v>
      </c>
      <c r="M209" s="84">
        <v>2509716</v>
      </c>
      <c r="N209" s="85"/>
      <c r="O209" s="85">
        <v>-575761</v>
      </c>
      <c r="P209" s="85">
        <v>-65921</v>
      </c>
      <c r="Q209" s="85">
        <v>-641682</v>
      </c>
    </row>
    <row r="210" spans="1:17" ht="12" customHeight="1">
      <c r="A210" s="411">
        <v>2580</v>
      </c>
      <c r="B210" s="415" t="s">
        <v>197</v>
      </c>
      <c r="C210" s="67">
        <v>242173</v>
      </c>
      <c r="D210" s="67">
        <v>4094</v>
      </c>
      <c r="E210" s="67">
        <v>5178</v>
      </c>
      <c r="F210" s="67">
        <v>46605</v>
      </c>
      <c r="G210" s="67">
        <v>2607</v>
      </c>
      <c r="H210" s="67">
        <v>58484</v>
      </c>
      <c r="I210" s="67"/>
      <c r="J210" s="67">
        <v>43846</v>
      </c>
      <c r="K210" s="67">
        <v>228451</v>
      </c>
      <c r="L210" s="67">
        <v>132342</v>
      </c>
      <c r="M210" s="67">
        <v>404639</v>
      </c>
      <c r="N210" s="68"/>
      <c r="O210" s="68">
        <v>-66116</v>
      </c>
      <c r="P210" s="68">
        <v>-32455</v>
      </c>
      <c r="Q210" s="68">
        <v>-98571</v>
      </c>
    </row>
    <row r="211" spans="1:17" ht="12" customHeight="1">
      <c r="A211" s="413">
        <v>20312</v>
      </c>
      <c r="B211" s="414" t="s">
        <v>198</v>
      </c>
      <c r="C211" s="84">
        <v>213732</v>
      </c>
      <c r="D211" s="84">
        <v>3613</v>
      </c>
      <c r="E211" s="84">
        <v>4570</v>
      </c>
      <c r="F211" s="84">
        <v>41132</v>
      </c>
      <c r="G211" s="84">
        <v>46271</v>
      </c>
      <c r="H211" s="84">
        <v>95586</v>
      </c>
      <c r="I211" s="84"/>
      <c r="J211" s="84">
        <v>38696</v>
      </c>
      <c r="K211" s="84">
        <v>201621</v>
      </c>
      <c r="L211" s="84">
        <v>14299</v>
      </c>
      <c r="M211" s="84">
        <v>254616</v>
      </c>
      <c r="N211" s="85"/>
      <c r="O211" s="85">
        <v>-58351</v>
      </c>
      <c r="P211" s="85">
        <v>18154</v>
      </c>
      <c r="Q211" s="85">
        <v>-40197</v>
      </c>
    </row>
    <row r="212" spans="1:17" ht="12" customHeight="1">
      <c r="A212" s="411">
        <v>26150</v>
      </c>
      <c r="B212" s="415" t="s">
        <v>199</v>
      </c>
      <c r="C212" s="67">
        <v>1548265</v>
      </c>
      <c r="D212" s="67">
        <v>26174</v>
      </c>
      <c r="E212" s="67">
        <v>33104</v>
      </c>
      <c r="F212" s="67">
        <v>297958</v>
      </c>
      <c r="G212" s="67">
        <v>275297</v>
      </c>
      <c r="H212" s="67">
        <v>632533</v>
      </c>
      <c r="I212" s="67"/>
      <c r="J212" s="67">
        <v>280314</v>
      </c>
      <c r="K212" s="67">
        <v>1460532</v>
      </c>
      <c r="L212" s="67">
        <v>45856</v>
      </c>
      <c r="M212" s="67">
        <v>1786702</v>
      </c>
      <c r="N212" s="68"/>
      <c r="O212" s="68">
        <v>-422695</v>
      </c>
      <c r="P212" s="68">
        <v>243843</v>
      </c>
      <c r="Q212" s="68">
        <v>-178852</v>
      </c>
    </row>
    <row r="213" spans="1:17" ht="12" customHeight="1">
      <c r="A213" s="413">
        <v>5016</v>
      </c>
      <c r="B213" s="414" t="s">
        <v>200</v>
      </c>
      <c r="C213" s="84">
        <v>179701</v>
      </c>
      <c r="D213" s="84">
        <v>3038</v>
      </c>
      <c r="E213" s="84">
        <v>3842</v>
      </c>
      <c r="F213" s="84">
        <v>34583</v>
      </c>
      <c r="G213" s="84">
        <v>23682</v>
      </c>
      <c r="H213" s="84">
        <v>65145</v>
      </c>
      <c r="I213" s="84"/>
      <c r="J213" s="84">
        <v>32535</v>
      </c>
      <c r="K213" s="84">
        <v>169518</v>
      </c>
      <c r="L213" s="84">
        <v>35100</v>
      </c>
      <c r="M213" s="84">
        <v>237153</v>
      </c>
      <c r="N213" s="85"/>
      <c r="O213" s="85">
        <v>-49060</v>
      </c>
      <c r="P213" s="85">
        <v>-5892</v>
      </c>
      <c r="Q213" s="85">
        <v>-54952</v>
      </c>
    </row>
    <row r="214" spans="1:17" ht="12" customHeight="1">
      <c r="A214" s="411">
        <v>6150</v>
      </c>
      <c r="B214" s="415" t="s">
        <v>201</v>
      </c>
      <c r="C214" s="67">
        <v>231171</v>
      </c>
      <c r="D214" s="67">
        <v>3908</v>
      </c>
      <c r="E214" s="67">
        <v>4943</v>
      </c>
      <c r="F214" s="67">
        <v>44488</v>
      </c>
      <c r="G214" s="67">
        <v>209839</v>
      </c>
      <c r="H214" s="67">
        <v>263178</v>
      </c>
      <c r="I214" s="67"/>
      <c r="J214" s="67">
        <v>41854</v>
      </c>
      <c r="K214" s="67">
        <v>218072</v>
      </c>
      <c r="L214" s="67">
        <v>24135</v>
      </c>
      <c r="M214" s="67">
        <v>284061</v>
      </c>
      <c r="N214" s="68"/>
      <c r="O214" s="68">
        <v>-63113</v>
      </c>
      <c r="P214" s="68">
        <v>87712</v>
      </c>
      <c r="Q214" s="68">
        <v>24599</v>
      </c>
    </row>
    <row r="215" spans="1:17" ht="12" customHeight="1">
      <c r="A215" s="413">
        <v>4480</v>
      </c>
      <c r="B215" s="414" t="s">
        <v>202</v>
      </c>
      <c r="C215" s="84">
        <v>281215</v>
      </c>
      <c r="D215" s="84">
        <v>4754</v>
      </c>
      <c r="E215" s="84">
        <v>6013</v>
      </c>
      <c r="F215" s="84">
        <v>54119</v>
      </c>
      <c r="G215" s="84">
        <v>56647</v>
      </c>
      <c r="H215" s="84">
        <v>121533</v>
      </c>
      <c r="I215" s="84"/>
      <c r="J215" s="84">
        <v>50914</v>
      </c>
      <c r="K215" s="84">
        <v>265280</v>
      </c>
      <c r="L215" s="84">
        <v>122718</v>
      </c>
      <c r="M215" s="84">
        <v>438912</v>
      </c>
      <c r="N215" s="85"/>
      <c r="O215" s="85">
        <v>-76775</v>
      </c>
      <c r="P215" s="85">
        <v>-24244</v>
      </c>
      <c r="Q215" s="85">
        <v>-101019</v>
      </c>
    </row>
    <row r="216" spans="1:17" ht="12" customHeight="1">
      <c r="A216" s="411">
        <v>28085</v>
      </c>
      <c r="B216" s="415" t="s">
        <v>203</v>
      </c>
      <c r="C216" s="67">
        <v>554758</v>
      </c>
      <c r="D216" s="67">
        <v>9378</v>
      </c>
      <c r="E216" s="67">
        <v>11862</v>
      </c>
      <c r="F216" s="67">
        <v>106761</v>
      </c>
      <c r="G216" s="67">
        <v>50307</v>
      </c>
      <c r="H216" s="67">
        <v>178308</v>
      </c>
      <c r="I216" s="67"/>
      <c r="J216" s="67">
        <v>100439</v>
      </c>
      <c r="K216" s="67">
        <v>523323</v>
      </c>
      <c r="L216" s="67">
        <v>58185</v>
      </c>
      <c r="M216" s="67">
        <v>681947</v>
      </c>
      <c r="N216" s="68"/>
      <c r="O216" s="68">
        <v>-151455</v>
      </c>
      <c r="P216" s="68">
        <v>-10679</v>
      </c>
      <c r="Q216" s="68">
        <v>-162134</v>
      </c>
    </row>
    <row r="217" spans="1:17" ht="12" customHeight="1">
      <c r="A217" s="413">
        <v>3240</v>
      </c>
      <c r="B217" s="414" t="s">
        <v>204</v>
      </c>
      <c r="C217" s="84">
        <v>2754537</v>
      </c>
      <c r="D217" s="84">
        <v>46566</v>
      </c>
      <c r="E217" s="84">
        <v>58896</v>
      </c>
      <c r="F217" s="84">
        <v>530101</v>
      </c>
      <c r="G217" s="84">
        <v>169667</v>
      </c>
      <c r="H217" s="84">
        <v>805230</v>
      </c>
      <c r="I217" s="84"/>
      <c r="J217" s="84">
        <v>498710</v>
      </c>
      <c r="K217" s="84">
        <v>2598451</v>
      </c>
      <c r="L217" s="84">
        <v>1481586</v>
      </c>
      <c r="M217" s="84">
        <v>4578747</v>
      </c>
      <c r="N217" s="85"/>
      <c r="O217" s="85">
        <v>-752021</v>
      </c>
      <c r="P217" s="85">
        <v>-490720</v>
      </c>
      <c r="Q217" s="85">
        <v>-1242741</v>
      </c>
    </row>
    <row r="218" spans="1:17" ht="12" customHeight="1">
      <c r="A218" s="411">
        <v>12326</v>
      </c>
      <c r="B218" s="415" t="s">
        <v>205</v>
      </c>
      <c r="C218" s="67">
        <v>250053</v>
      </c>
      <c r="D218" s="67">
        <v>4227</v>
      </c>
      <c r="E218" s="67">
        <v>5346</v>
      </c>
      <c r="F218" s="67">
        <v>48122</v>
      </c>
      <c r="G218" s="67">
        <v>148864</v>
      </c>
      <c r="H218" s="67">
        <v>206559</v>
      </c>
      <c r="I218" s="67"/>
      <c r="J218" s="67">
        <v>45272</v>
      </c>
      <c r="K218" s="67">
        <v>235884</v>
      </c>
      <c r="L218" s="67">
        <v>20647</v>
      </c>
      <c r="M218" s="67">
        <v>301803</v>
      </c>
      <c r="N218" s="68"/>
      <c r="O218" s="68">
        <v>-68267</v>
      </c>
      <c r="P218" s="68">
        <v>30467</v>
      </c>
      <c r="Q218" s="68">
        <v>-37800</v>
      </c>
    </row>
    <row r="219" spans="1:17" ht="12" customHeight="1">
      <c r="A219" s="413">
        <v>2445</v>
      </c>
      <c r="B219" s="414" t="s">
        <v>446</v>
      </c>
      <c r="C219" s="84">
        <v>160879</v>
      </c>
      <c r="D219" s="84">
        <v>2720</v>
      </c>
      <c r="E219" s="84">
        <v>3440</v>
      </c>
      <c r="F219" s="84">
        <v>30961</v>
      </c>
      <c r="G219" s="84">
        <v>289719</v>
      </c>
      <c r="H219" s="84">
        <v>326840</v>
      </c>
      <c r="I219" s="84"/>
      <c r="J219" s="84">
        <v>29127</v>
      </c>
      <c r="K219" s="84">
        <v>151763</v>
      </c>
      <c r="L219" s="84">
        <v>0</v>
      </c>
      <c r="M219" s="84">
        <v>180890</v>
      </c>
      <c r="N219" s="85"/>
      <c r="O219" s="85">
        <v>-43922</v>
      </c>
      <c r="P219" s="85">
        <v>64453</v>
      </c>
      <c r="Q219" s="85">
        <v>20531</v>
      </c>
    </row>
    <row r="220" spans="1:17" ht="12" customHeight="1">
      <c r="A220" s="411">
        <v>29123</v>
      </c>
      <c r="B220" s="415" t="s">
        <v>206</v>
      </c>
      <c r="C220" s="67">
        <v>40054794</v>
      </c>
      <c r="D220" s="67">
        <v>677130</v>
      </c>
      <c r="E220" s="67">
        <v>856430</v>
      </c>
      <c r="F220" s="67">
        <v>7708407</v>
      </c>
      <c r="G220" s="67">
        <v>11065837</v>
      </c>
      <c r="H220" s="67">
        <v>20307804</v>
      </c>
      <c r="I220" s="67"/>
      <c r="J220" s="67">
        <v>7251937</v>
      </c>
      <c r="K220" s="67">
        <v>37785090</v>
      </c>
      <c r="L220" s="67">
        <v>3440764</v>
      </c>
      <c r="M220" s="67">
        <v>48477791</v>
      </c>
      <c r="N220" s="68"/>
      <c r="O220" s="68">
        <v>-10935432</v>
      </c>
      <c r="P220" s="68">
        <v>2216212</v>
      </c>
      <c r="Q220" s="68">
        <v>-8719220</v>
      </c>
    </row>
    <row r="221" spans="1:17" ht="12" customHeight="1">
      <c r="A221" s="413">
        <v>2318</v>
      </c>
      <c r="B221" s="414" t="s">
        <v>207</v>
      </c>
      <c r="C221" s="84">
        <v>1037365</v>
      </c>
      <c r="D221" s="84">
        <v>17537</v>
      </c>
      <c r="E221" s="84">
        <v>22180</v>
      </c>
      <c r="F221" s="84">
        <v>199637</v>
      </c>
      <c r="G221" s="84">
        <v>383905</v>
      </c>
      <c r="H221" s="84">
        <v>623259</v>
      </c>
      <c r="I221" s="84"/>
      <c r="J221" s="84">
        <v>187815</v>
      </c>
      <c r="K221" s="84">
        <v>978583</v>
      </c>
      <c r="L221" s="84">
        <v>4907</v>
      </c>
      <c r="M221" s="84">
        <v>1171305</v>
      </c>
      <c r="N221" s="85"/>
      <c r="O221" s="85">
        <v>-283213</v>
      </c>
      <c r="P221" s="85">
        <v>98991</v>
      </c>
      <c r="Q221" s="85">
        <v>-184222</v>
      </c>
    </row>
    <row r="222" spans="1:17" ht="12" customHeight="1">
      <c r="A222" s="411">
        <v>3250</v>
      </c>
      <c r="B222" s="415" t="s">
        <v>208</v>
      </c>
      <c r="C222" s="67">
        <v>1157864</v>
      </c>
      <c r="D222" s="67">
        <v>19574</v>
      </c>
      <c r="E222" s="67">
        <v>24757</v>
      </c>
      <c r="F222" s="67">
        <v>222827</v>
      </c>
      <c r="G222" s="67">
        <v>60985</v>
      </c>
      <c r="H222" s="67">
        <v>328143</v>
      </c>
      <c r="I222" s="67"/>
      <c r="J222" s="67">
        <v>209632</v>
      </c>
      <c r="K222" s="67">
        <v>1092254</v>
      </c>
      <c r="L222" s="67">
        <v>213471</v>
      </c>
      <c r="M222" s="67">
        <v>1515357</v>
      </c>
      <c r="N222" s="68"/>
      <c r="O222" s="68">
        <v>-316111</v>
      </c>
      <c r="P222" s="68">
        <v>-33185</v>
      </c>
      <c r="Q222" s="68">
        <v>-349296</v>
      </c>
    </row>
    <row r="223" spans="1:17" ht="12" customHeight="1">
      <c r="A223" s="413">
        <v>2313</v>
      </c>
      <c r="B223" s="414" t="s">
        <v>209</v>
      </c>
      <c r="C223" s="84">
        <v>149758</v>
      </c>
      <c r="D223" s="84">
        <v>2532</v>
      </c>
      <c r="E223" s="84">
        <v>3202</v>
      </c>
      <c r="F223" s="84">
        <v>28820</v>
      </c>
      <c r="G223" s="84">
        <v>63418</v>
      </c>
      <c r="H223" s="84">
        <v>97972</v>
      </c>
      <c r="I223" s="84"/>
      <c r="J223" s="84">
        <v>27114</v>
      </c>
      <c r="K223" s="84">
        <v>141272</v>
      </c>
      <c r="L223" s="84">
        <v>5378</v>
      </c>
      <c r="M223" s="84">
        <v>173764</v>
      </c>
      <c r="N223" s="85"/>
      <c r="O223" s="85">
        <v>-40886</v>
      </c>
      <c r="P223" s="85">
        <v>6021</v>
      </c>
      <c r="Q223" s="85">
        <v>-34865</v>
      </c>
    </row>
    <row r="224" spans="1:17" ht="12" customHeight="1">
      <c r="A224" s="411">
        <v>4011</v>
      </c>
      <c r="B224" s="415" t="s">
        <v>210</v>
      </c>
      <c r="C224" s="67">
        <v>22805915</v>
      </c>
      <c r="D224" s="67">
        <v>385536</v>
      </c>
      <c r="E224" s="67">
        <v>487624</v>
      </c>
      <c r="F224" s="67">
        <v>4388919</v>
      </c>
      <c r="G224" s="67">
        <v>3811829</v>
      </c>
      <c r="H224" s="67">
        <v>9073908</v>
      </c>
      <c r="I224" s="67"/>
      <c r="J224" s="67">
        <v>4129020</v>
      </c>
      <c r="K224" s="67">
        <v>21513618</v>
      </c>
      <c r="L224" s="67">
        <v>0</v>
      </c>
      <c r="M224" s="67">
        <v>25642638</v>
      </c>
      <c r="N224" s="68"/>
      <c r="O224" s="68">
        <v>-6226284</v>
      </c>
      <c r="P224" s="68">
        <v>1562467</v>
      </c>
      <c r="Q224" s="68">
        <v>-4663817</v>
      </c>
    </row>
    <row r="225" spans="1:17" ht="12" customHeight="1">
      <c r="A225" s="413">
        <v>31092</v>
      </c>
      <c r="B225" s="414" t="s">
        <v>211</v>
      </c>
      <c r="C225" s="84">
        <v>335778</v>
      </c>
      <c r="D225" s="84">
        <v>5676</v>
      </c>
      <c r="E225" s="84">
        <v>7179</v>
      </c>
      <c r="F225" s="84">
        <v>64619</v>
      </c>
      <c r="G225" s="84">
        <v>87986</v>
      </c>
      <c r="H225" s="84">
        <v>165460</v>
      </c>
      <c r="I225" s="84"/>
      <c r="J225" s="84">
        <v>60793</v>
      </c>
      <c r="K225" s="84">
        <v>316751</v>
      </c>
      <c r="L225" s="84">
        <v>89471</v>
      </c>
      <c r="M225" s="84">
        <v>467015</v>
      </c>
      <c r="N225" s="85"/>
      <c r="O225" s="85">
        <v>-91671</v>
      </c>
      <c r="P225" s="85">
        <v>7234</v>
      </c>
      <c r="Q225" s="85">
        <v>-84437</v>
      </c>
    </row>
    <row r="226" spans="1:17" ht="12" customHeight="1">
      <c r="A226" s="411">
        <v>26081</v>
      </c>
      <c r="B226" s="415" t="s">
        <v>212</v>
      </c>
      <c r="C226" s="67">
        <v>4122476</v>
      </c>
      <c r="D226" s="67">
        <v>69691</v>
      </c>
      <c r="E226" s="67">
        <v>88145</v>
      </c>
      <c r="F226" s="67">
        <v>793356</v>
      </c>
      <c r="G226" s="67">
        <v>998510</v>
      </c>
      <c r="H226" s="67">
        <v>1949702</v>
      </c>
      <c r="I226" s="67"/>
      <c r="J226" s="67">
        <v>746376</v>
      </c>
      <c r="K226" s="67">
        <v>3888876</v>
      </c>
      <c r="L226" s="67">
        <v>499012</v>
      </c>
      <c r="M226" s="67">
        <v>5134264</v>
      </c>
      <c r="N226" s="68"/>
      <c r="O226" s="68">
        <v>-1125485</v>
      </c>
      <c r="P226" s="68">
        <v>171091</v>
      </c>
      <c r="Q226" s="68">
        <v>-954394</v>
      </c>
    </row>
    <row r="227" spans="1:17" ht="12" customHeight="1">
      <c r="A227" s="413">
        <v>29305</v>
      </c>
      <c r="B227" s="414" t="s">
        <v>213</v>
      </c>
      <c r="C227" s="84">
        <v>241014</v>
      </c>
      <c r="D227" s="84">
        <v>4074</v>
      </c>
      <c r="E227" s="84">
        <v>5153</v>
      </c>
      <c r="F227" s="84">
        <v>46382</v>
      </c>
      <c r="G227" s="84">
        <v>17867</v>
      </c>
      <c r="H227" s="84">
        <v>73476</v>
      </c>
      <c r="I227" s="84"/>
      <c r="J227" s="84">
        <v>43636</v>
      </c>
      <c r="K227" s="84">
        <v>227357</v>
      </c>
      <c r="L227" s="84">
        <v>150475</v>
      </c>
      <c r="M227" s="84">
        <v>421468</v>
      </c>
      <c r="N227" s="85"/>
      <c r="O227" s="85">
        <v>-65800</v>
      </c>
      <c r="P227" s="85">
        <v>915</v>
      </c>
      <c r="Q227" s="85">
        <v>-64885</v>
      </c>
    </row>
    <row r="228" spans="1:17" ht="12" customHeight="1">
      <c r="A228" s="411">
        <v>10032</v>
      </c>
      <c r="B228" s="415" t="s">
        <v>214</v>
      </c>
      <c r="C228" s="67">
        <v>441454</v>
      </c>
      <c r="D228" s="67">
        <v>7463</v>
      </c>
      <c r="E228" s="67">
        <v>9439</v>
      </c>
      <c r="F228" s="67">
        <v>84956</v>
      </c>
      <c r="G228" s="67">
        <v>47322</v>
      </c>
      <c r="H228" s="67">
        <v>149180</v>
      </c>
      <c r="I228" s="67"/>
      <c r="J228" s="67">
        <v>79926</v>
      </c>
      <c r="K228" s="67">
        <v>416439</v>
      </c>
      <c r="L228" s="67">
        <v>88769</v>
      </c>
      <c r="M228" s="67">
        <v>585134</v>
      </c>
      <c r="N228" s="68"/>
      <c r="O228" s="68">
        <v>-120522</v>
      </c>
      <c r="P228" s="68">
        <v>-18300</v>
      </c>
      <c r="Q228" s="68">
        <v>-138822</v>
      </c>
    </row>
    <row r="229" spans="1:17" ht="12" customHeight="1">
      <c r="A229" s="413">
        <v>32107</v>
      </c>
      <c r="B229" s="414" t="s">
        <v>215</v>
      </c>
      <c r="C229" s="84">
        <v>627682</v>
      </c>
      <c r="D229" s="84">
        <v>10611</v>
      </c>
      <c r="E229" s="84">
        <v>13421</v>
      </c>
      <c r="F229" s="84">
        <v>120795</v>
      </c>
      <c r="G229" s="84">
        <v>219011</v>
      </c>
      <c r="H229" s="84">
        <v>363838</v>
      </c>
      <c r="I229" s="84"/>
      <c r="J229" s="84">
        <v>113642</v>
      </c>
      <c r="K229" s="84">
        <v>592114</v>
      </c>
      <c r="L229" s="84">
        <v>256718</v>
      </c>
      <c r="M229" s="84">
        <v>962474</v>
      </c>
      <c r="N229" s="85"/>
      <c r="O229" s="85">
        <v>-171365</v>
      </c>
      <c r="P229" s="85">
        <v>-93665</v>
      </c>
      <c r="Q229" s="85">
        <v>-265030</v>
      </c>
    </row>
    <row r="230" spans="1:17" ht="12" customHeight="1">
      <c r="A230" s="411">
        <v>3260</v>
      </c>
      <c r="B230" s="415" t="s">
        <v>216</v>
      </c>
      <c r="C230" s="67">
        <v>9110838</v>
      </c>
      <c r="D230" s="67">
        <v>154019</v>
      </c>
      <c r="E230" s="67">
        <v>194803</v>
      </c>
      <c r="F230" s="67">
        <v>1753349</v>
      </c>
      <c r="G230" s="67">
        <v>0</v>
      </c>
      <c r="H230" s="67">
        <v>2102171</v>
      </c>
      <c r="I230" s="67"/>
      <c r="J230" s="67">
        <v>1649521</v>
      </c>
      <c r="K230" s="67">
        <v>8594573</v>
      </c>
      <c r="L230" s="67">
        <v>3833271</v>
      </c>
      <c r="M230" s="67">
        <v>14077365</v>
      </c>
      <c r="N230" s="68"/>
      <c r="O230" s="68">
        <v>-2487366</v>
      </c>
      <c r="P230" s="68">
        <v>-1444657</v>
      </c>
      <c r="Q230" s="68">
        <v>-3932023</v>
      </c>
    </row>
    <row r="231" spans="1:17" ht="12" customHeight="1">
      <c r="A231" s="413">
        <v>4390</v>
      </c>
      <c r="B231" s="414" t="s">
        <v>217</v>
      </c>
      <c r="C231" s="84">
        <v>75927</v>
      </c>
      <c r="D231" s="84">
        <v>1284</v>
      </c>
      <c r="E231" s="84">
        <v>1623</v>
      </c>
      <c r="F231" s="84">
        <v>14612</v>
      </c>
      <c r="G231" s="84">
        <v>14643</v>
      </c>
      <c r="H231" s="84">
        <v>32162</v>
      </c>
      <c r="I231" s="84"/>
      <c r="J231" s="84">
        <v>13747</v>
      </c>
      <c r="K231" s="84">
        <v>71625</v>
      </c>
      <c r="L231" s="84">
        <v>55146</v>
      </c>
      <c r="M231" s="84">
        <v>140518</v>
      </c>
      <c r="N231" s="85"/>
      <c r="O231" s="85">
        <v>-20729</v>
      </c>
      <c r="P231" s="85">
        <v>-4927</v>
      </c>
      <c r="Q231" s="85">
        <v>-25656</v>
      </c>
    </row>
    <row r="232" spans="1:17" ht="12" customHeight="1">
      <c r="A232" s="411">
        <v>3270</v>
      </c>
      <c r="B232" s="415" t="s">
        <v>218</v>
      </c>
      <c r="C232" s="67">
        <v>1512524</v>
      </c>
      <c r="D232" s="67">
        <v>25569</v>
      </c>
      <c r="E232" s="67">
        <v>32340</v>
      </c>
      <c r="F232" s="67">
        <v>291080</v>
      </c>
      <c r="G232" s="67">
        <v>202653</v>
      </c>
      <c r="H232" s="67">
        <v>551642</v>
      </c>
      <c r="I232" s="67"/>
      <c r="J232" s="67">
        <v>273843</v>
      </c>
      <c r="K232" s="67">
        <v>1426816</v>
      </c>
      <c r="L232" s="67">
        <v>283416</v>
      </c>
      <c r="M232" s="67">
        <v>1984075</v>
      </c>
      <c r="N232" s="68"/>
      <c r="O232" s="68">
        <v>-412937</v>
      </c>
      <c r="P232" s="68">
        <v>-59745</v>
      </c>
      <c r="Q232" s="68">
        <v>-472682</v>
      </c>
    </row>
    <row r="233" spans="1:17" ht="12" customHeight="1">
      <c r="A233" s="413">
        <v>29303</v>
      </c>
      <c r="B233" s="414" t="s">
        <v>219</v>
      </c>
      <c r="C233" s="84">
        <v>481403</v>
      </c>
      <c r="D233" s="84">
        <v>8138</v>
      </c>
      <c r="E233" s="84">
        <v>10293</v>
      </c>
      <c r="F233" s="84">
        <v>92644</v>
      </c>
      <c r="G233" s="84">
        <v>430443</v>
      </c>
      <c r="H233" s="84">
        <v>541518</v>
      </c>
      <c r="I233" s="84"/>
      <c r="J233" s="84">
        <v>87158</v>
      </c>
      <c r="K233" s="84">
        <v>454124</v>
      </c>
      <c r="L233" s="84">
        <v>0</v>
      </c>
      <c r="M233" s="84">
        <v>541282</v>
      </c>
      <c r="N233" s="85"/>
      <c r="O233" s="85">
        <v>-131429</v>
      </c>
      <c r="P233" s="85">
        <v>144241</v>
      </c>
      <c r="Q233" s="85">
        <v>12812</v>
      </c>
    </row>
    <row r="234" spans="1:17" ht="12" customHeight="1">
      <c r="A234" s="411">
        <v>3280</v>
      </c>
      <c r="B234" s="415" t="s">
        <v>423</v>
      </c>
      <c r="C234" s="67">
        <v>6710856</v>
      </c>
      <c r="D234" s="67">
        <v>113448</v>
      </c>
      <c r="E234" s="67">
        <v>143488</v>
      </c>
      <c r="F234" s="67">
        <v>1291481</v>
      </c>
      <c r="G234" s="67">
        <v>526864</v>
      </c>
      <c r="H234" s="67">
        <v>2075281</v>
      </c>
      <c r="I234" s="67"/>
      <c r="J234" s="67">
        <v>1215003</v>
      </c>
      <c r="K234" s="67">
        <v>6330586</v>
      </c>
      <c r="L234" s="67">
        <v>1885586</v>
      </c>
      <c r="M234" s="67">
        <v>9431175</v>
      </c>
      <c r="N234" s="68"/>
      <c r="O234" s="68">
        <v>-1832143</v>
      </c>
      <c r="P234" s="68">
        <v>-554601</v>
      </c>
      <c r="Q234" s="68">
        <v>-2386744</v>
      </c>
    </row>
    <row r="235" spans="1:17" ht="12" customHeight="1">
      <c r="A235" s="413">
        <v>4260</v>
      </c>
      <c r="B235" s="414" t="s">
        <v>221</v>
      </c>
      <c r="C235" s="84">
        <v>515464</v>
      </c>
      <c r="D235" s="84">
        <v>8714</v>
      </c>
      <c r="E235" s="84">
        <v>11021</v>
      </c>
      <c r="F235" s="84">
        <v>99199</v>
      </c>
      <c r="G235" s="84">
        <v>128679</v>
      </c>
      <c r="H235" s="84">
        <v>247613</v>
      </c>
      <c r="I235" s="84"/>
      <c r="J235" s="84">
        <v>93325</v>
      </c>
      <c r="K235" s="84">
        <v>486255</v>
      </c>
      <c r="L235" s="84">
        <v>217831</v>
      </c>
      <c r="M235" s="84">
        <v>797411</v>
      </c>
      <c r="N235" s="85"/>
      <c r="O235" s="85">
        <v>-140728</v>
      </c>
      <c r="P235" s="85">
        <v>434</v>
      </c>
      <c r="Q235" s="85">
        <v>-140294</v>
      </c>
    </row>
    <row r="236" spans="1:17" ht="12" customHeight="1">
      <c r="A236" s="411">
        <v>1003</v>
      </c>
      <c r="B236" s="415" t="s">
        <v>222</v>
      </c>
      <c r="C236" s="67">
        <v>7434536</v>
      </c>
      <c r="D236" s="67">
        <v>125681</v>
      </c>
      <c r="E236" s="67">
        <v>158961</v>
      </c>
      <c r="F236" s="67">
        <v>1430751</v>
      </c>
      <c r="G236" s="67">
        <v>412564</v>
      </c>
      <c r="H236" s="67">
        <v>2127957</v>
      </c>
      <c r="I236" s="67"/>
      <c r="J236" s="67">
        <v>1346026</v>
      </c>
      <c r="K236" s="67">
        <v>7013258</v>
      </c>
      <c r="L236" s="67">
        <v>1708610</v>
      </c>
      <c r="M236" s="67">
        <v>10067894</v>
      </c>
      <c r="N236" s="68"/>
      <c r="O236" s="68">
        <v>-2029716</v>
      </c>
      <c r="P236" s="68">
        <v>-944253</v>
      </c>
      <c r="Q236" s="68">
        <v>-2973969</v>
      </c>
    </row>
    <row r="237" spans="1:17" ht="12" customHeight="1">
      <c r="A237" s="413">
        <v>3290</v>
      </c>
      <c r="B237" s="414" t="s">
        <v>223</v>
      </c>
      <c r="C237" s="84">
        <v>13938395</v>
      </c>
      <c r="D237" s="84">
        <v>235630</v>
      </c>
      <c r="E237" s="84">
        <v>298023</v>
      </c>
      <c r="F237" s="84">
        <v>2682396</v>
      </c>
      <c r="G237" s="84">
        <v>0</v>
      </c>
      <c r="H237" s="84">
        <v>3216049</v>
      </c>
      <c r="I237" s="84"/>
      <c r="J237" s="84">
        <v>2523552</v>
      </c>
      <c r="K237" s="84">
        <v>13148576</v>
      </c>
      <c r="L237" s="84">
        <v>5571105</v>
      </c>
      <c r="M237" s="84">
        <v>21243233</v>
      </c>
      <c r="N237" s="85"/>
      <c r="O237" s="85">
        <v>-3805346</v>
      </c>
      <c r="P237" s="85">
        <v>-1427798</v>
      </c>
      <c r="Q237" s="85">
        <v>-5233144</v>
      </c>
    </row>
    <row r="238" spans="1:17" ht="12" customHeight="1">
      <c r="A238" s="411">
        <v>1002</v>
      </c>
      <c r="B238" s="415" t="s">
        <v>224</v>
      </c>
      <c r="C238" s="67">
        <v>28745426</v>
      </c>
      <c r="D238" s="67">
        <v>485944</v>
      </c>
      <c r="E238" s="67">
        <v>614619</v>
      </c>
      <c r="F238" s="67">
        <v>5531958</v>
      </c>
      <c r="G238" s="67">
        <v>1133069</v>
      </c>
      <c r="H238" s="67">
        <v>7765590</v>
      </c>
      <c r="I238" s="67"/>
      <c r="J238" s="67">
        <v>5204372</v>
      </c>
      <c r="K238" s="67">
        <v>27116568</v>
      </c>
      <c r="L238" s="67">
        <v>2744447</v>
      </c>
      <c r="M238" s="67">
        <v>35065387</v>
      </c>
      <c r="N238" s="68"/>
      <c r="O238" s="68">
        <v>-7847841</v>
      </c>
      <c r="P238" s="68">
        <v>-272497</v>
      </c>
      <c r="Q238" s="68">
        <v>-8120338</v>
      </c>
    </row>
    <row r="239" spans="1:17" ht="12" customHeight="1">
      <c r="A239" s="413">
        <v>4270</v>
      </c>
      <c r="B239" s="414" t="s">
        <v>424</v>
      </c>
      <c r="C239" s="84">
        <v>569952</v>
      </c>
      <c r="D239" s="84">
        <v>9635</v>
      </c>
      <c r="E239" s="84">
        <v>12186</v>
      </c>
      <c r="F239" s="84">
        <v>109685</v>
      </c>
      <c r="G239" s="84">
        <v>913263</v>
      </c>
      <c r="H239" s="84">
        <v>1044769</v>
      </c>
      <c r="I239" s="84"/>
      <c r="J239" s="84">
        <v>103190</v>
      </c>
      <c r="K239" s="84">
        <v>537656</v>
      </c>
      <c r="L239" s="84">
        <v>136270</v>
      </c>
      <c r="M239" s="84">
        <v>777116</v>
      </c>
      <c r="N239" s="85"/>
      <c r="O239" s="85">
        <v>-155604</v>
      </c>
      <c r="P239" s="85">
        <v>277489</v>
      </c>
      <c r="Q239" s="85">
        <v>121885</v>
      </c>
    </row>
    <row r="240" spans="1:17" ht="12" customHeight="1">
      <c r="A240" s="411">
        <v>24072</v>
      </c>
      <c r="B240" s="415" t="s">
        <v>225</v>
      </c>
      <c r="C240" s="67">
        <v>2110783</v>
      </c>
      <c r="D240" s="67">
        <v>35683</v>
      </c>
      <c r="E240" s="67">
        <v>45132</v>
      </c>
      <c r="F240" s="67">
        <v>406213</v>
      </c>
      <c r="G240" s="67">
        <v>623707</v>
      </c>
      <c r="H240" s="67">
        <v>1110735</v>
      </c>
      <c r="I240" s="67"/>
      <c r="J240" s="67">
        <v>382158</v>
      </c>
      <c r="K240" s="67">
        <v>1991176</v>
      </c>
      <c r="L240" s="67">
        <v>274845</v>
      </c>
      <c r="M240" s="67">
        <v>2648179</v>
      </c>
      <c r="N240" s="68"/>
      <c r="O240" s="68">
        <v>-576269</v>
      </c>
      <c r="P240" s="68">
        <v>100891</v>
      </c>
      <c r="Q240" s="68">
        <v>-475378</v>
      </c>
    </row>
    <row r="241" spans="1:17" ht="12" customHeight="1">
      <c r="A241" s="413">
        <v>14366</v>
      </c>
      <c r="B241" s="414" t="s">
        <v>226</v>
      </c>
      <c r="C241" s="84">
        <v>1404810</v>
      </c>
      <c r="D241" s="84">
        <v>23748</v>
      </c>
      <c r="E241" s="84">
        <v>30037</v>
      </c>
      <c r="F241" s="84">
        <v>270351</v>
      </c>
      <c r="G241" s="84">
        <v>831679</v>
      </c>
      <c r="H241" s="84">
        <v>1155815</v>
      </c>
      <c r="I241" s="84"/>
      <c r="J241" s="84">
        <v>254341</v>
      </c>
      <c r="K241" s="84">
        <v>1325207</v>
      </c>
      <c r="L241" s="84">
        <v>0</v>
      </c>
      <c r="M241" s="84">
        <v>1579548</v>
      </c>
      <c r="N241" s="85"/>
      <c r="O241" s="85">
        <v>-383530</v>
      </c>
      <c r="P241" s="85">
        <v>203521</v>
      </c>
      <c r="Q241" s="85">
        <v>-180009</v>
      </c>
    </row>
    <row r="242" spans="1:17" ht="12" customHeight="1">
      <c r="A242" s="411">
        <v>4317</v>
      </c>
      <c r="B242" s="415" t="s">
        <v>227</v>
      </c>
      <c r="C242" s="67">
        <v>373957</v>
      </c>
      <c r="D242" s="67">
        <v>6322</v>
      </c>
      <c r="E242" s="67">
        <v>7996</v>
      </c>
      <c r="F242" s="67">
        <v>71967</v>
      </c>
      <c r="G242" s="67">
        <v>371321</v>
      </c>
      <c r="H242" s="67">
        <v>457606</v>
      </c>
      <c r="I242" s="67"/>
      <c r="J242" s="67">
        <v>67705</v>
      </c>
      <c r="K242" s="67">
        <v>352767</v>
      </c>
      <c r="L242" s="67">
        <v>39623</v>
      </c>
      <c r="M242" s="67">
        <v>460095</v>
      </c>
      <c r="N242" s="68"/>
      <c r="O242" s="68">
        <v>-102095</v>
      </c>
      <c r="P242" s="68">
        <v>104858</v>
      </c>
      <c r="Q242" s="68">
        <v>2763</v>
      </c>
    </row>
    <row r="243" spans="1:17" ht="12" customHeight="1">
      <c r="A243" s="413">
        <v>32120</v>
      </c>
      <c r="B243" s="414" t="s">
        <v>228</v>
      </c>
      <c r="C243" s="84">
        <v>532100</v>
      </c>
      <c r="D243" s="84">
        <v>8995</v>
      </c>
      <c r="E243" s="84">
        <v>11377</v>
      </c>
      <c r="F243" s="84">
        <v>102401</v>
      </c>
      <c r="G243" s="84">
        <v>382227</v>
      </c>
      <c r="H243" s="84">
        <v>505000</v>
      </c>
      <c r="I243" s="84"/>
      <c r="J243" s="84">
        <v>96337</v>
      </c>
      <c r="K243" s="84">
        <v>501949</v>
      </c>
      <c r="L243" s="84">
        <v>0</v>
      </c>
      <c r="M243" s="84">
        <v>598286</v>
      </c>
      <c r="N243" s="85"/>
      <c r="O243" s="85">
        <v>-145270</v>
      </c>
      <c r="P243" s="85">
        <v>183527</v>
      </c>
      <c r="Q243" s="85">
        <v>38257</v>
      </c>
    </row>
    <row r="244" spans="1:17" ht="12" customHeight="1">
      <c r="A244" s="411">
        <v>3300</v>
      </c>
      <c r="B244" s="415" t="s">
        <v>425</v>
      </c>
      <c r="C244" s="67">
        <v>996554</v>
      </c>
      <c r="D244" s="67">
        <v>16847</v>
      </c>
      <c r="E244" s="67">
        <v>21308</v>
      </c>
      <c r="F244" s="67">
        <v>191783</v>
      </c>
      <c r="G244" s="67">
        <v>67942</v>
      </c>
      <c r="H244" s="67">
        <v>297880</v>
      </c>
      <c r="I244" s="67"/>
      <c r="J244" s="67">
        <v>180427</v>
      </c>
      <c r="K244" s="67">
        <v>940085</v>
      </c>
      <c r="L244" s="67">
        <v>257383</v>
      </c>
      <c r="M244" s="67">
        <v>1377895</v>
      </c>
      <c r="N244" s="68"/>
      <c r="O244" s="68">
        <v>-272071</v>
      </c>
      <c r="P244" s="68">
        <v>391513</v>
      </c>
      <c r="Q244" s="68">
        <v>119442</v>
      </c>
    </row>
    <row r="245" spans="1:17" ht="12" customHeight="1">
      <c r="A245" s="413">
        <v>8026</v>
      </c>
      <c r="B245" s="414" t="s">
        <v>230</v>
      </c>
      <c r="C245" s="84">
        <v>5711507</v>
      </c>
      <c r="D245" s="84">
        <v>96553</v>
      </c>
      <c r="E245" s="84">
        <v>122120</v>
      </c>
      <c r="F245" s="84">
        <v>1099160</v>
      </c>
      <c r="G245" s="84">
        <v>35226</v>
      </c>
      <c r="H245" s="84">
        <v>1353059</v>
      </c>
      <c r="I245" s="84"/>
      <c r="J245" s="84">
        <v>1034071</v>
      </c>
      <c r="K245" s="84">
        <v>5387864</v>
      </c>
      <c r="L245" s="84">
        <v>789585</v>
      </c>
      <c r="M245" s="84">
        <v>7211520</v>
      </c>
      <c r="N245" s="85"/>
      <c r="O245" s="85">
        <v>-1559309</v>
      </c>
      <c r="P245" s="85">
        <v>-323067</v>
      </c>
      <c r="Q245" s="85">
        <v>-1882376</v>
      </c>
    </row>
    <row r="246" spans="1:17" ht="12" customHeight="1">
      <c r="A246" s="411">
        <v>32119</v>
      </c>
      <c r="B246" s="415" t="s">
        <v>231</v>
      </c>
      <c r="C246" s="67">
        <v>224273</v>
      </c>
      <c r="D246" s="67">
        <v>3791</v>
      </c>
      <c r="E246" s="67">
        <v>4795</v>
      </c>
      <c r="F246" s="67">
        <v>43161</v>
      </c>
      <c r="G246" s="67">
        <v>103946</v>
      </c>
      <c r="H246" s="67">
        <v>155693</v>
      </c>
      <c r="I246" s="67"/>
      <c r="J246" s="67">
        <v>40605</v>
      </c>
      <c r="K246" s="67">
        <v>211565</v>
      </c>
      <c r="L246" s="67">
        <v>37066</v>
      </c>
      <c r="M246" s="67">
        <v>289236</v>
      </c>
      <c r="N246" s="68"/>
      <c r="O246" s="68">
        <v>-61229</v>
      </c>
      <c r="P246" s="68">
        <v>61746</v>
      </c>
      <c r="Q246" s="68">
        <v>517</v>
      </c>
    </row>
    <row r="247" spans="1:17" ht="12" customHeight="1">
      <c r="A247" s="413">
        <v>25076</v>
      </c>
      <c r="B247" s="414" t="s">
        <v>232</v>
      </c>
      <c r="C247" s="84">
        <v>3636806</v>
      </c>
      <c r="D247" s="84">
        <v>61481</v>
      </c>
      <c r="E247" s="84">
        <v>77760</v>
      </c>
      <c r="F247" s="84">
        <v>699891</v>
      </c>
      <c r="G247" s="84">
        <v>472327</v>
      </c>
      <c r="H247" s="84">
        <v>1311459</v>
      </c>
      <c r="I247" s="84"/>
      <c r="J247" s="84">
        <v>658445</v>
      </c>
      <c r="K247" s="84">
        <v>3430727</v>
      </c>
      <c r="L247" s="84">
        <v>339164</v>
      </c>
      <c r="M247" s="84">
        <v>4428336</v>
      </c>
      <c r="N247" s="85"/>
      <c r="O247" s="85">
        <v>-992891</v>
      </c>
      <c r="P247" s="85">
        <v>29853</v>
      </c>
      <c r="Q247" s="85">
        <v>-963038</v>
      </c>
    </row>
    <row r="248" spans="1:17" ht="12" customHeight="1">
      <c r="A248" s="411">
        <v>2440</v>
      </c>
      <c r="B248" s="415" t="s">
        <v>401</v>
      </c>
      <c r="C248" s="67">
        <v>579036</v>
      </c>
      <c r="D248" s="67">
        <v>9789</v>
      </c>
      <c r="E248" s="67">
        <v>12381</v>
      </c>
      <c r="F248" s="67">
        <v>111434</v>
      </c>
      <c r="G248" s="67">
        <v>802248</v>
      </c>
      <c r="H248" s="67">
        <v>935852</v>
      </c>
      <c r="I248" s="67"/>
      <c r="J248" s="67">
        <v>104835</v>
      </c>
      <c r="K248" s="67">
        <v>546225</v>
      </c>
      <c r="L248" s="67">
        <v>0</v>
      </c>
      <c r="M248" s="67">
        <v>651060</v>
      </c>
      <c r="N248" s="68"/>
      <c r="O248" s="68">
        <v>-158084</v>
      </c>
      <c r="P248" s="68">
        <v>268309</v>
      </c>
      <c r="Q248" s="68">
        <v>110225</v>
      </c>
    </row>
    <row r="249" spans="1:17" ht="12" customHeight="1">
      <c r="A249" s="413">
        <v>2309</v>
      </c>
      <c r="B249" s="414" t="s">
        <v>233</v>
      </c>
      <c r="C249" s="84">
        <v>1472189</v>
      </c>
      <c r="D249" s="84">
        <v>24887</v>
      </c>
      <c r="E249" s="84">
        <v>31478</v>
      </c>
      <c r="F249" s="84">
        <v>283318</v>
      </c>
      <c r="G249" s="84">
        <v>224979</v>
      </c>
      <c r="H249" s="84">
        <v>564662</v>
      </c>
      <c r="I249" s="84"/>
      <c r="J249" s="84">
        <v>266540</v>
      </c>
      <c r="K249" s="84">
        <v>1388767</v>
      </c>
      <c r="L249" s="84">
        <v>75561</v>
      </c>
      <c r="M249" s="84">
        <v>1730868</v>
      </c>
      <c r="N249" s="85"/>
      <c r="O249" s="85">
        <v>-401925</v>
      </c>
      <c r="P249" s="85">
        <v>91404</v>
      </c>
      <c r="Q249" s="85">
        <v>-310521</v>
      </c>
    </row>
    <row r="250" spans="1:17" ht="12" customHeight="1">
      <c r="A250" s="411">
        <v>2396</v>
      </c>
      <c r="B250" s="415" t="s">
        <v>234</v>
      </c>
      <c r="C250" s="67">
        <v>448219</v>
      </c>
      <c r="D250" s="67">
        <v>7577</v>
      </c>
      <c r="E250" s="67">
        <v>9584</v>
      </c>
      <c r="F250" s="67">
        <v>86258</v>
      </c>
      <c r="G250" s="67">
        <v>188667</v>
      </c>
      <c r="H250" s="67">
        <v>292086</v>
      </c>
      <c r="I250" s="67"/>
      <c r="J250" s="67">
        <v>81150</v>
      </c>
      <c r="K250" s="67">
        <v>422821</v>
      </c>
      <c r="L250" s="67">
        <v>0</v>
      </c>
      <c r="M250" s="67">
        <v>503971</v>
      </c>
      <c r="N250" s="68"/>
      <c r="O250" s="68">
        <v>-122369</v>
      </c>
      <c r="P250" s="68">
        <v>70603</v>
      </c>
      <c r="Q250" s="68">
        <v>-51766</v>
      </c>
    </row>
    <row r="251" spans="1:17" ht="12" customHeight="1">
      <c r="A251" s="413">
        <v>3380</v>
      </c>
      <c r="B251" s="414" t="s">
        <v>235</v>
      </c>
      <c r="C251" s="416">
        <v>274554</v>
      </c>
      <c r="D251" s="416">
        <v>4641</v>
      </c>
      <c r="E251" s="416">
        <v>5870</v>
      </c>
      <c r="F251" s="416">
        <v>52837</v>
      </c>
      <c r="G251" s="416">
        <v>40236</v>
      </c>
      <c r="H251" s="416">
        <v>103584</v>
      </c>
      <c r="I251" s="416"/>
      <c r="J251" s="416">
        <v>49708</v>
      </c>
      <c r="K251" s="416">
        <v>258997</v>
      </c>
      <c r="L251" s="416">
        <v>89679</v>
      </c>
      <c r="M251" s="416">
        <v>398384</v>
      </c>
      <c r="N251" s="417"/>
      <c r="O251" s="417">
        <v>-74957</v>
      </c>
      <c r="P251" s="417">
        <v>-20773</v>
      </c>
      <c r="Q251" s="417">
        <v>-95730</v>
      </c>
    </row>
    <row r="252" spans="1:17" ht="12" customHeight="1">
      <c r="A252" s="411">
        <v>2420</v>
      </c>
      <c r="B252" s="415" t="s">
        <v>236</v>
      </c>
      <c r="C252" s="67">
        <v>428787</v>
      </c>
      <c r="D252" s="67">
        <v>7249</v>
      </c>
      <c r="E252" s="67">
        <v>9168</v>
      </c>
      <c r="F252" s="67">
        <v>82519</v>
      </c>
      <c r="G252" s="67">
        <v>69158</v>
      </c>
      <c r="H252" s="67">
        <v>168094</v>
      </c>
      <c r="I252" s="67"/>
      <c r="J252" s="67">
        <v>77632</v>
      </c>
      <c r="K252" s="67">
        <v>404490</v>
      </c>
      <c r="L252" s="67">
        <v>136804</v>
      </c>
      <c r="M252" s="67">
        <v>618926</v>
      </c>
      <c r="N252" s="68"/>
      <c r="O252" s="68">
        <v>-117064</v>
      </c>
      <c r="P252" s="68">
        <v>7254</v>
      </c>
      <c r="Q252" s="68">
        <v>-109810</v>
      </c>
    </row>
    <row r="253" spans="1:17" ht="12" customHeight="1">
      <c r="A253" s="413">
        <v>2740</v>
      </c>
      <c r="B253" s="414" t="s">
        <v>237</v>
      </c>
      <c r="C253" s="84">
        <v>70084</v>
      </c>
      <c r="D253" s="84">
        <v>1185</v>
      </c>
      <c r="E253" s="84">
        <v>1499</v>
      </c>
      <c r="F253" s="84">
        <v>13487</v>
      </c>
      <c r="G253" s="84">
        <v>45524</v>
      </c>
      <c r="H253" s="84">
        <v>61695</v>
      </c>
      <c r="I253" s="84"/>
      <c r="J253" s="84">
        <v>12689</v>
      </c>
      <c r="K253" s="84">
        <v>66113</v>
      </c>
      <c r="L253" s="84">
        <v>45701</v>
      </c>
      <c r="M253" s="84">
        <v>124503</v>
      </c>
      <c r="N253" s="85"/>
      <c r="O253" s="85">
        <v>-19134</v>
      </c>
      <c r="P253" s="85">
        <v>-1457</v>
      </c>
      <c r="Q253" s="85">
        <v>-20591</v>
      </c>
    </row>
    <row r="254" spans="1:17" ht="12" customHeight="1">
      <c r="A254" s="411">
        <v>2346</v>
      </c>
      <c r="B254" s="415" t="s">
        <v>238</v>
      </c>
      <c r="C254" s="67">
        <v>355759</v>
      </c>
      <c r="D254" s="67">
        <v>6014</v>
      </c>
      <c r="E254" s="67">
        <v>7607</v>
      </c>
      <c r="F254" s="67">
        <v>68465</v>
      </c>
      <c r="G254" s="67">
        <v>97044</v>
      </c>
      <c r="H254" s="67">
        <v>179130</v>
      </c>
      <c r="I254" s="67"/>
      <c r="J254" s="67">
        <v>64410</v>
      </c>
      <c r="K254" s="67">
        <v>335600</v>
      </c>
      <c r="L254" s="67">
        <v>17477</v>
      </c>
      <c r="M254" s="67">
        <v>417487</v>
      </c>
      <c r="N254" s="68"/>
      <c r="O254" s="68">
        <v>-97127</v>
      </c>
      <c r="P254" s="68">
        <v>84626</v>
      </c>
      <c r="Q254" s="68">
        <v>-12501</v>
      </c>
    </row>
    <row r="255" spans="1:17" ht="12" customHeight="1">
      <c r="A255" s="413">
        <v>21150</v>
      </c>
      <c r="B255" s="414" t="s">
        <v>239</v>
      </c>
      <c r="C255" s="84">
        <v>872844</v>
      </c>
      <c r="D255" s="84">
        <v>14755</v>
      </c>
      <c r="E255" s="84">
        <v>18663</v>
      </c>
      <c r="F255" s="84">
        <v>167976</v>
      </c>
      <c r="G255" s="84">
        <v>269861</v>
      </c>
      <c r="H255" s="84">
        <v>471255</v>
      </c>
      <c r="I255" s="84"/>
      <c r="J255" s="84">
        <v>158029</v>
      </c>
      <c r="K255" s="84">
        <v>823384</v>
      </c>
      <c r="L255" s="84">
        <v>31965</v>
      </c>
      <c r="M255" s="84">
        <v>1013378</v>
      </c>
      <c r="N255" s="85"/>
      <c r="O255" s="85">
        <v>-238297</v>
      </c>
      <c r="P255" s="85">
        <v>146112</v>
      </c>
      <c r="Q255" s="85">
        <v>-92185</v>
      </c>
    </row>
    <row r="256" spans="1:17" ht="12" customHeight="1">
      <c r="A256" s="411">
        <v>32098</v>
      </c>
      <c r="B256" s="415" t="s">
        <v>240</v>
      </c>
      <c r="C256" s="67">
        <v>421265</v>
      </c>
      <c r="D256" s="67">
        <v>7122</v>
      </c>
      <c r="E256" s="67">
        <v>9007</v>
      </c>
      <c r="F256" s="67">
        <v>81071</v>
      </c>
      <c r="G256" s="67">
        <v>113404</v>
      </c>
      <c r="H256" s="67">
        <v>210604</v>
      </c>
      <c r="I256" s="67"/>
      <c r="J256" s="67">
        <v>76270</v>
      </c>
      <c r="K256" s="67">
        <v>397394</v>
      </c>
      <c r="L256" s="67">
        <v>104309</v>
      </c>
      <c r="M256" s="67">
        <v>577973</v>
      </c>
      <c r="N256" s="68"/>
      <c r="O256" s="68">
        <v>-115010</v>
      </c>
      <c r="P256" s="68">
        <v>-355</v>
      </c>
      <c r="Q256" s="68">
        <v>-115365</v>
      </c>
    </row>
    <row r="257" spans="1:17" ht="12" customHeight="1">
      <c r="A257" s="413">
        <v>4520</v>
      </c>
      <c r="B257" s="414" t="s">
        <v>241</v>
      </c>
      <c r="C257" s="84">
        <v>47308</v>
      </c>
      <c r="D257" s="84">
        <v>800</v>
      </c>
      <c r="E257" s="84">
        <v>1012</v>
      </c>
      <c r="F257" s="84">
        <v>9104</v>
      </c>
      <c r="G257" s="84">
        <v>7913</v>
      </c>
      <c r="H257" s="84">
        <v>18829</v>
      </c>
      <c r="I257" s="84"/>
      <c r="J257" s="84">
        <v>8565</v>
      </c>
      <c r="K257" s="84">
        <v>44627</v>
      </c>
      <c r="L257" s="84">
        <v>12035</v>
      </c>
      <c r="M257" s="84">
        <v>65227</v>
      </c>
      <c r="N257" s="85"/>
      <c r="O257" s="85">
        <v>-12916</v>
      </c>
      <c r="P257" s="85">
        <v>821</v>
      </c>
      <c r="Q257" s="85">
        <v>-12095</v>
      </c>
    </row>
    <row r="258" spans="1:17" ht="12" customHeight="1">
      <c r="A258" s="411">
        <v>9030</v>
      </c>
      <c r="B258" s="415" t="s">
        <v>242</v>
      </c>
      <c r="C258" s="67">
        <v>448546</v>
      </c>
      <c r="D258" s="67">
        <v>7583</v>
      </c>
      <c r="E258" s="67">
        <v>9591</v>
      </c>
      <c r="F258" s="67">
        <v>86321</v>
      </c>
      <c r="G258" s="67">
        <v>2735</v>
      </c>
      <c r="H258" s="67">
        <v>106230</v>
      </c>
      <c r="I258" s="67"/>
      <c r="J258" s="67">
        <v>81209</v>
      </c>
      <c r="K258" s="67">
        <v>423129</v>
      </c>
      <c r="L258" s="67">
        <v>108541</v>
      </c>
      <c r="M258" s="67">
        <v>612879</v>
      </c>
      <c r="N258" s="68"/>
      <c r="O258" s="68">
        <v>-122458</v>
      </c>
      <c r="P258" s="68">
        <v>-34882</v>
      </c>
      <c r="Q258" s="68">
        <v>-157340</v>
      </c>
    </row>
    <row r="259" spans="1:17" ht="12" customHeight="1">
      <c r="A259" s="413">
        <v>20265</v>
      </c>
      <c r="B259" s="414" t="s">
        <v>243</v>
      </c>
      <c r="C259" s="84">
        <v>659840</v>
      </c>
      <c r="D259" s="84">
        <v>11155</v>
      </c>
      <c r="E259" s="84">
        <v>14108</v>
      </c>
      <c r="F259" s="84">
        <v>126984</v>
      </c>
      <c r="G259" s="84">
        <v>370053</v>
      </c>
      <c r="H259" s="84">
        <v>522300</v>
      </c>
      <c r="I259" s="84"/>
      <c r="J259" s="84">
        <v>119464</v>
      </c>
      <c r="K259" s="84">
        <v>622450</v>
      </c>
      <c r="L259" s="84">
        <v>79750</v>
      </c>
      <c r="M259" s="84">
        <v>821664</v>
      </c>
      <c r="N259" s="85"/>
      <c r="O259" s="85">
        <v>-180144</v>
      </c>
      <c r="P259" s="85">
        <v>71982</v>
      </c>
      <c r="Q259" s="85">
        <v>-108162</v>
      </c>
    </row>
    <row r="260" spans="1:17" ht="12" customHeight="1">
      <c r="A260" s="411">
        <v>20307</v>
      </c>
      <c r="B260" s="415" t="s">
        <v>244</v>
      </c>
      <c r="C260" s="67">
        <v>538642</v>
      </c>
      <c r="D260" s="67">
        <v>9106</v>
      </c>
      <c r="E260" s="67">
        <v>11517</v>
      </c>
      <c r="F260" s="67">
        <v>103660</v>
      </c>
      <c r="G260" s="67">
        <v>234803</v>
      </c>
      <c r="H260" s="67">
        <v>359086</v>
      </c>
      <c r="I260" s="67"/>
      <c r="J260" s="67">
        <v>97521</v>
      </c>
      <c r="K260" s="67">
        <v>508120</v>
      </c>
      <c r="L260" s="67">
        <v>25271</v>
      </c>
      <c r="M260" s="67">
        <v>630912</v>
      </c>
      <c r="N260" s="68"/>
      <c r="O260" s="68">
        <v>-147056</v>
      </c>
      <c r="P260" s="68">
        <v>79951</v>
      </c>
      <c r="Q260" s="68">
        <v>-67105</v>
      </c>
    </row>
    <row r="261" spans="1:17" ht="12" customHeight="1">
      <c r="A261" s="413">
        <v>3320</v>
      </c>
      <c r="B261" s="414" t="s">
        <v>245</v>
      </c>
      <c r="C261" s="84">
        <v>2974736</v>
      </c>
      <c r="D261" s="84">
        <v>50288</v>
      </c>
      <c r="E261" s="84">
        <v>63604</v>
      </c>
      <c r="F261" s="84">
        <v>572478</v>
      </c>
      <c r="G261" s="84">
        <v>209490</v>
      </c>
      <c r="H261" s="84">
        <v>895860</v>
      </c>
      <c r="I261" s="84"/>
      <c r="J261" s="84">
        <v>538577</v>
      </c>
      <c r="K261" s="84">
        <v>2806173</v>
      </c>
      <c r="L261" s="84">
        <v>1183494</v>
      </c>
      <c r="M261" s="84">
        <v>4528244</v>
      </c>
      <c r="N261" s="85"/>
      <c r="O261" s="85">
        <v>-812138</v>
      </c>
      <c r="P261" s="85">
        <v>-359105</v>
      </c>
      <c r="Q261" s="85">
        <v>-1171243</v>
      </c>
    </row>
    <row r="262" spans="1:17" ht="12" customHeight="1">
      <c r="A262" s="411">
        <v>20415</v>
      </c>
      <c r="B262" s="415" t="s">
        <v>246</v>
      </c>
      <c r="C262" s="67">
        <v>421354</v>
      </c>
      <c r="D262" s="67">
        <v>7123</v>
      </c>
      <c r="E262" s="67">
        <v>9009</v>
      </c>
      <c r="F262" s="67">
        <v>81088</v>
      </c>
      <c r="G262" s="67">
        <v>220267</v>
      </c>
      <c r="H262" s="67">
        <v>317487</v>
      </c>
      <c r="I262" s="67"/>
      <c r="J262" s="67">
        <v>76286</v>
      </c>
      <c r="K262" s="67">
        <v>397478</v>
      </c>
      <c r="L262" s="67">
        <v>40974</v>
      </c>
      <c r="M262" s="67">
        <v>514738</v>
      </c>
      <c r="N262" s="68"/>
      <c r="O262" s="68">
        <v>-115035</v>
      </c>
      <c r="P262" s="68">
        <v>56396</v>
      </c>
      <c r="Q262" s="68">
        <v>-58639</v>
      </c>
    </row>
    <row r="263" spans="1:17" ht="12" customHeight="1">
      <c r="A263" s="413">
        <v>20435</v>
      </c>
      <c r="B263" s="414" t="s">
        <v>418</v>
      </c>
      <c r="C263" s="84">
        <v>548915</v>
      </c>
      <c r="D263" s="84">
        <v>9279</v>
      </c>
      <c r="E263" s="84">
        <v>11737</v>
      </c>
      <c r="F263" s="84">
        <v>105637</v>
      </c>
      <c r="G263" s="84">
        <v>321813</v>
      </c>
      <c r="H263" s="84">
        <v>448466</v>
      </c>
      <c r="I263" s="84"/>
      <c r="J263" s="84">
        <v>99381</v>
      </c>
      <c r="K263" s="84">
        <v>517811</v>
      </c>
      <c r="L263" s="84">
        <v>27136</v>
      </c>
      <c r="M263" s="84">
        <v>644328</v>
      </c>
      <c r="N263" s="85"/>
      <c r="O263" s="85">
        <v>-149860</v>
      </c>
      <c r="P263" s="85">
        <v>70284</v>
      </c>
      <c r="Q263" s="85">
        <v>-79576</v>
      </c>
    </row>
    <row r="264" spans="1:17" ht="12" customHeight="1">
      <c r="A264" s="411">
        <v>20062</v>
      </c>
      <c r="B264" s="415" t="s">
        <v>247</v>
      </c>
      <c r="C264" s="67">
        <v>4977613</v>
      </c>
      <c r="D264" s="67">
        <v>84147</v>
      </c>
      <c r="E264" s="67">
        <v>106429</v>
      </c>
      <c r="F264" s="67">
        <v>957924</v>
      </c>
      <c r="G264" s="67">
        <v>332345</v>
      </c>
      <c r="H264" s="67">
        <v>1480845</v>
      </c>
      <c r="I264" s="67"/>
      <c r="J264" s="67">
        <v>901199</v>
      </c>
      <c r="K264" s="67">
        <v>4695556</v>
      </c>
      <c r="L264" s="67">
        <v>625527</v>
      </c>
      <c r="M264" s="67">
        <v>6222282</v>
      </c>
      <c r="N264" s="68"/>
      <c r="O264" s="68">
        <v>-1358947</v>
      </c>
      <c r="P264" s="68">
        <v>-94458</v>
      </c>
      <c r="Q264" s="68">
        <v>-1453405</v>
      </c>
    </row>
    <row r="265" spans="1:17" ht="12" customHeight="1">
      <c r="A265" s="413">
        <v>6020</v>
      </c>
      <c r="B265" s="414" t="s">
        <v>248</v>
      </c>
      <c r="C265" s="84">
        <v>998219</v>
      </c>
      <c r="D265" s="84">
        <v>16875</v>
      </c>
      <c r="E265" s="84">
        <v>21343</v>
      </c>
      <c r="F265" s="84">
        <v>192104</v>
      </c>
      <c r="G265" s="84">
        <v>104373</v>
      </c>
      <c r="H265" s="84">
        <v>334695</v>
      </c>
      <c r="I265" s="84"/>
      <c r="J265" s="84">
        <v>180728</v>
      </c>
      <c r="K265" s="84">
        <v>941655</v>
      </c>
      <c r="L265" s="84">
        <v>67318</v>
      </c>
      <c r="M265" s="84">
        <v>1189701</v>
      </c>
      <c r="N265" s="85"/>
      <c r="O265" s="85">
        <v>-272526</v>
      </c>
      <c r="P265" s="85">
        <v>-7612</v>
      </c>
      <c r="Q265" s="85">
        <v>-280138</v>
      </c>
    </row>
    <row r="266" spans="1:17" ht="12" customHeight="1">
      <c r="A266" s="411">
        <v>2394</v>
      </c>
      <c r="B266" s="415" t="s">
        <v>249</v>
      </c>
      <c r="C266" s="67">
        <v>564957</v>
      </c>
      <c r="D266" s="67">
        <v>9551</v>
      </c>
      <c r="E266" s="67">
        <v>12080</v>
      </c>
      <c r="F266" s="67">
        <v>108724</v>
      </c>
      <c r="G266" s="67">
        <v>135726</v>
      </c>
      <c r="H266" s="67">
        <v>266081</v>
      </c>
      <c r="I266" s="67"/>
      <c r="J266" s="67">
        <v>102286</v>
      </c>
      <c r="K266" s="67">
        <v>532944</v>
      </c>
      <c r="L266" s="67">
        <v>32796</v>
      </c>
      <c r="M266" s="67">
        <v>668026</v>
      </c>
      <c r="N266" s="68"/>
      <c r="O266" s="68">
        <v>-154240</v>
      </c>
      <c r="P266" s="68">
        <v>112049</v>
      </c>
      <c r="Q266" s="68">
        <v>-42191</v>
      </c>
    </row>
    <row r="267" spans="1:17" ht="12" customHeight="1">
      <c r="A267" s="413">
        <v>5015</v>
      </c>
      <c r="B267" s="414" t="s">
        <v>250</v>
      </c>
      <c r="C267" s="84">
        <v>1340346</v>
      </c>
      <c r="D267" s="84">
        <v>22659</v>
      </c>
      <c r="E267" s="84">
        <v>28659</v>
      </c>
      <c r="F267" s="84">
        <v>257945</v>
      </c>
      <c r="G267" s="84">
        <v>97929</v>
      </c>
      <c r="H267" s="84">
        <v>407192</v>
      </c>
      <c r="I267" s="84"/>
      <c r="J267" s="84">
        <v>242670</v>
      </c>
      <c r="K267" s="84">
        <v>1264395</v>
      </c>
      <c r="L267" s="84">
        <v>177835</v>
      </c>
      <c r="M267" s="84">
        <v>1684900</v>
      </c>
      <c r="N267" s="85"/>
      <c r="O267" s="85">
        <v>-365930</v>
      </c>
      <c r="P267" s="85">
        <v>-22152</v>
      </c>
      <c r="Q267" s="85">
        <v>-388082</v>
      </c>
    </row>
    <row r="268" spans="1:17" ht="12" customHeight="1">
      <c r="A268" s="411">
        <v>29408</v>
      </c>
      <c r="B268" s="415" t="s">
        <v>251</v>
      </c>
      <c r="C268" s="67">
        <v>948994</v>
      </c>
      <c r="D268" s="67">
        <v>16043</v>
      </c>
      <c r="E268" s="67">
        <v>20291</v>
      </c>
      <c r="F268" s="67">
        <v>182631</v>
      </c>
      <c r="G268" s="67">
        <v>249698</v>
      </c>
      <c r="H268" s="67">
        <v>468663</v>
      </c>
      <c r="I268" s="67"/>
      <c r="J268" s="67">
        <v>171816</v>
      </c>
      <c r="K268" s="67">
        <v>895219</v>
      </c>
      <c r="L268" s="67">
        <v>76196</v>
      </c>
      <c r="M268" s="67">
        <v>1143231</v>
      </c>
      <c r="N268" s="68"/>
      <c r="O268" s="68">
        <v>-259087</v>
      </c>
      <c r="P268" s="68">
        <v>88975</v>
      </c>
      <c r="Q268" s="68">
        <v>-170112</v>
      </c>
    </row>
    <row r="269" spans="1:17" ht="12" customHeight="1">
      <c r="A269" s="413">
        <v>2413</v>
      </c>
      <c r="B269" s="414" t="s">
        <v>252</v>
      </c>
      <c r="C269" s="84">
        <v>247065</v>
      </c>
      <c r="D269" s="84">
        <v>4177</v>
      </c>
      <c r="E269" s="84">
        <v>5283</v>
      </c>
      <c r="F269" s="84">
        <v>47547</v>
      </c>
      <c r="G269" s="84">
        <v>91286</v>
      </c>
      <c r="H269" s="84">
        <v>148293</v>
      </c>
      <c r="I269" s="84"/>
      <c r="J269" s="84">
        <v>44731</v>
      </c>
      <c r="K269" s="84">
        <v>233065</v>
      </c>
      <c r="L269" s="84">
        <v>161914</v>
      </c>
      <c r="M269" s="84">
        <v>439710</v>
      </c>
      <c r="N269" s="85"/>
      <c r="O269" s="85">
        <v>-67452</v>
      </c>
      <c r="P269" s="85">
        <v>-64295</v>
      </c>
      <c r="Q269" s="85">
        <v>-131747</v>
      </c>
    </row>
    <row r="270" spans="1:17" ht="12" customHeight="1">
      <c r="A270" s="411">
        <v>1398</v>
      </c>
      <c r="B270" s="415" t="s">
        <v>253</v>
      </c>
      <c r="C270" s="67">
        <v>475842</v>
      </c>
      <c r="D270" s="67">
        <v>8044</v>
      </c>
      <c r="E270" s="67">
        <v>10174</v>
      </c>
      <c r="F270" s="67">
        <v>91574</v>
      </c>
      <c r="G270" s="67">
        <v>239762</v>
      </c>
      <c r="H270" s="67">
        <v>349554</v>
      </c>
      <c r="I270" s="67"/>
      <c r="J270" s="67">
        <v>86151</v>
      </c>
      <c r="K270" s="67">
        <v>448879</v>
      </c>
      <c r="L270" s="67">
        <v>147027</v>
      </c>
      <c r="M270" s="67">
        <v>682057</v>
      </c>
      <c r="N270" s="68"/>
      <c r="O270" s="68">
        <v>-129911</v>
      </c>
      <c r="P270" s="68">
        <v>36847</v>
      </c>
      <c r="Q270" s="68">
        <v>-93064</v>
      </c>
    </row>
    <row r="271" spans="1:17" ht="12" customHeight="1">
      <c r="A271" s="413">
        <v>2366</v>
      </c>
      <c r="B271" s="414" t="s">
        <v>254</v>
      </c>
      <c r="C271" s="84">
        <v>393864</v>
      </c>
      <c r="D271" s="84">
        <v>6658</v>
      </c>
      <c r="E271" s="84">
        <v>8421</v>
      </c>
      <c r="F271" s="84">
        <v>75798</v>
      </c>
      <c r="G271" s="84">
        <v>19791</v>
      </c>
      <c r="H271" s="84">
        <v>110668</v>
      </c>
      <c r="I271" s="84"/>
      <c r="J271" s="84">
        <v>71309</v>
      </c>
      <c r="K271" s="84">
        <v>371546</v>
      </c>
      <c r="L271" s="84">
        <v>160782</v>
      </c>
      <c r="M271" s="84">
        <v>603637</v>
      </c>
      <c r="N271" s="85"/>
      <c r="O271" s="85">
        <v>-107530</v>
      </c>
      <c r="P271" s="85">
        <v>-59241</v>
      </c>
      <c r="Q271" s="85">
        <v>-166771</v>
      </c>
    </row>
    <row r="272" spans="1:17" ht="12" customHeight="1">
      <c r="A272" s="411">
        <v>7421</v>
      </c>
      <c r="B272" s="415" t="s">
        <v>255</v>
      </c>
      <c r="C272" s="67">
        <v>324315</v>
      </c>
      <c r="D272" s="67">
        <v>5483</v>
      </c>
      <c r="E272" s="67">
        <v>6934</v>
      </c>
      <c r="F272" s="67">
        <v>62413</v>
      </c>
      <c r="G272" s="67">
        <v>91055</v>
      </c>
      <c r="H272" s="67">
        <v>165885</v>
      </c>
      <c r="I272" s="67"/>
      <c r="J272" s="67">
        <v>58717</v>
      </c>
      <c r="K272" s="67">
        <v>305938</v>
      </c>
      <c r="L272" s="67">
        <v>240829</v>
      </c>
      <c r="M272" s="67">
        <v>605484</v>
      </c>
      <c r="N272" s="68"/>
      <c r="O272" s="68">
        <v>-88542</v>
      </c>
      <c r="P272" s="68">
        <v>-63637</v>
      </c>
      <c r="Q272" s="68">
        <v>-152179</v>
      </c>
    </row>
    <row r="273" spans="1:17" ht="12" customHeight="1">
      <c r="A273" s="413">
        <v>1425</v>
      </c>
      <c r="B273" s="414" t="s">
        <v>445</v>
      </c>
      <c r="C273" s="84">
        <v>285928</v>
      </c>
      <c r="D273" s="84">
        <v>4834</v>
      </c>
      <c r="E273" s="84">
        <v>6114</v>
      </c>
      <c r="F273" s="84">
        <v>55026</v>
      </c>
      <c r="G273" s="84">
        <v>526871</v>
      </c>
      <c r="H273" s="84">
        <v>592845</v>
      </c>
      <c r="I273" s="84"/>
      <c r="J273" s="84">
        <v>51767</v>
      </c>
      <c r="K273" s="84">
        <v>269726</v>
      </c>
      <c r="L273" s="84">
        <v>0</v>
      </c>
      <c r="M273" s="84">
        <v>321493</v>
      </c>
      <c r="N273" s="85"/>
      <c r="O273" s="85">
        <v>-78062</v>
      </c>
      <c r="P273" s="85">
        <v>109982</v>
      </c>
      <c r="Q273" s="85">
        <v>31920</v>
      </c>
    </row>
    <row r="274" spans="1:17" ht="12" customHeight="1">
      <c r="A274" s="411">
        <v>2370</v>
      </c>
      <c r="B274" s="415" t="s">
        <v>256</v>
      </c>
      <c r="C274" s="67">
        <v>553316</v>
      </c>
      <c r="D274" s="67">
        <v>9354</v>
      </c>
      <c r="E274" s="67">
        <v>11831</v>
      </c>
      <c r="F274" s="67">
        <v>106484</v>
      </c>
      <c r="G274" s="67">
        <v>88555</v>
      </c>
      <c r="H274" s="67">
        <v>216224</v>
      </c>
      <c r="I274" s="67"/>
      <c r="J274" s="67">
        <v>100178</v>
      </c>
      <c r="K274" s="67">
        <v>521962</v>
      </c>
      <c r="L274" s="67">
        <v>229638</v>
      </c>
      <c r="M274" s="67">
        <v>851778</v>
      </c>
      <c r="N274" s="68"/>
      <c r="O274" s="68">
        <v>-151062</v>
      </c>
      <c r="P274" s="68">
        <v>-34113</v>
      </c>
      <c r="Q274" s="68">
        <v>-185175</v>
      </c>
    </row>
    <row r="275" spans="1:17" ht="12" customHeight="1">
      <c r="A275" s="413">
        <v>32094</v>
      </c>
      <c r="B275" s="414" t="s">
        <v>257</v>
      </c>
      <c r="C275" s="84">
        <v>742190</v>
      </c>
      <c r="D275" s="84">
        <v>12547</v>
      </c>
      <c r="E275" s="84">
        <v>15869</v>
      </c>
      <c r="F275" s="84">
        <v>142832</v>
      </c>
      <c r="G275" s="84">
        <v>128671</v>
      </c>
      <c r="H275" s="84">
        <v>299919</v>
      </c>
      <c r="I275" s="84"/>
      <c r="J275" s="84">
        <v>134374</v>
      </c>
      <c r="K275" s="84">
        <v>700134</v>
      </c>
      <c r="L275" s="84">
        <v>3167</v>
      </c>
      <c r="M275" s="84">
        <v>837675</v>
      </c>
      <c r="N275" s="85"/>
      <c r="O275" s="85">
        <v>-202627</v>
      </c>
      <c r="P275" s="85">
        <v>16720</v>
      </c>
      <c r="Q275" s="85">
        <v>-185907</v>
      </c>
    </row>
    <row r="276" spans="1:17" ht="12" customHeight="1">
      <c r="A276" s="411">
        <v>2790</v>
      </c>
      <c r="B276" s="415" t="s">
        <v>258</v>
      </c>
      <c r="C276" s="67">
        <v>69609</v>
      </c>
      <c r="D276" s="67">
        <v>1177</v>
      </c>
      <c r="E276" s="67">
        <v>1488</v>
      </c>
      <c r="F276" s="67">
        <v>13396</v>
      </c>
      <c r="G276" s="67">
        <v>25177</v>
      </c>
      <c r="H276" s="67">
        <v>41238</v>
      </c>
      <c r="I276" s="67"/>
      <c r="J276" s="67">
        <v>12603</v>
      </c>
      <c r="K276" s="67">
        <v>65664</v>
      </c>
      <c r="L276" s="67">
        <v>39153</v>
      </c>
      <c r="M276" s="67">
        <v>117420</v>
      </c>
      <c r="N276" s="68"/>
      <c r="O276" s="68">
        <v>-19004</v>
      </c>
      <c r="P276" s="68">
        <v>-9452</v>
      </c>
      <c r="Q276" s="68">
        <v>-28456</v>
      </c>
    </row>
    <row r="277" spans="1:17" ht="12" customHeight="1">
      <c r="A277" s="413">
        <v>3330</v>
      </c>
      <c r="B277" s="414" t="s">
        <v>259</v>
      </c>
      <c r="C277" s="84">
        <v>1453159</v>
      </c>
      <c r="D277" s="84">
        <v>24566</v>
      </c>
      <c r="E277" s="84">
        <v>31071</v>
      </c>
      <c r="F277" s="84">
        <v>279655</v>
      </c>
      <c r="G277" s="84">
        <v>216237</v>
      </c>
      <c r="H277" s="84">
        <v>551529</v>
      </c>
      <c r="I277" s="84"/>
      <c r="J277" s="84">
        <v>263095</v>
      </c>
      <c r="K277" s="84">
        <v>1370815</v>
      </c>
      <c r="L277" s="84">
        <v>226418</v>
      </c>
      <c r="M277" s="84">
        <v>1860328</v>
      </c>
      <c r="N277" s="85"/>
      <c r="O277" s="85">
        <v>-396729</v>
      </c>
      <c r="P277" s="85">
        <v>28108</v>
      </c>
      <c r="Q277" s="85">
        <v>-368621</v>
      </c>
    </row>
    <row r="278" spans="1:17" ht="12" customHeight="1">
      <c r="A278" s="411">
        <v>2080</v>
      </c>
      <c r="B278" s="415" t="s">
        <v>260</v>
      </c>
      <c r="C278" s="67">
        <v>1587930</v>
      </c>
      <c r="D278" s="67">
        <v>26844</v>
      </c>
      <c r="E278" s="67">
        <v>33952</v>
      </c>
      <c r="F278" s="67">
        <v>305592</v>
      </c>
      <c r="G278" s="67">
        <v>99560</v>
      </c>
      <c r="H278" s="67">
        <v>465948</v>
      </c>
      <c r="I278" s="67"/>
      <c r="J278" s="67">
        <v>287495</v>
      </c>
      <c r="K278" s="67">
        <v>1497950</v>
      </c>
      <c r="L278" s="67">
        <v>440124</v>
      </c>
      <c r="M278" s="67">
        <v>2225569</v>
      </c>
      <c r="N278" s="68"/>
      <c r="O278" s="68">
        <v>-433524</v>
      </c>
      <c r="P278" s="68">
        <v>9145</v>
      </c>
      <c r="Q278" s="68">
        <v>-424379</v>
      </c>
    </row>
    <row r="279" spans="1:17" ht="12" customHeight="1">
      <c r="A279" s="413">
        <v>4290</v>
      </c>
      <c r="B279" s="414" t="s">
        <v>261</v>
      </c>
      <c r="C279" s="84">
        <v>708813</v>
      </c>
      <c r="D279" s="84">
        <v>11983</v>
      </c>
      <c r="E279" s="84">
        <v>15155</v>
      </c>
      <c r="F279" s="84">
        <v>136409</v>
      </c>
      <c r="G279" s="84">
        <v>262072</v>
      </c>
      <c r="H279" s="84">
        <v>425619</v>
      </c>
      <c r="I279" s="84"/>
      <c r="J279" s="84">
        <v>128331</v>
      </c>
      <c r="K279" s="84">
        <v>668648</v>
      </c>
      <c r="L279" s="84">
        <v>5101</v>
      </c>
      <c r="M279" s="84">
        <v>802080</v>
      </c>
      <c r="N279" s="85"/>
      <c r="O279" s="85">
        <v>-193514</v>
      </c>
      <c r="P279" s="85">
        <v>105885</v>
      </c>
      <c r="Q279" s="85">
        <v>-87629</v>
      </c>
    </row>
    <row r="280" spans="1:17" ht="12" customHeight="1">
      <c r="A280" s="411">
        <v>2270</v>
      </c>
      <c r="B280" s="415" t="s">
        <v>262</v>
      </c>
      <c r="C280" s="67">
        <v>28634</v>
      </c>
      <c r="D280" s="67">
        <v>484</v>
      </c>
      <c r="E280" s="67">
        <v>612</v>
      </c>
      <c r="F280" s="67">
        <v>5511</v>
      </c>
      <c r="G280" s="67">
        <v>874</v>
      </c>
      <c r="H280" s="67">
        <v>7481</v>
      </c>
      <c r="I280" s="67"/>
      <c r="J280" s="67">
        <v>5184</v>
      </c>
      <c r="K280" s="67">
        <v>27012</v>
      </c>
      <c r="L280" s="67">
        <v>34014</v>
      </c>
      <c r="M280" s="67">
        <v>66210</v>
      </c>
      <c r="N280" s="68"/>
      <c r="O280" s="68">
        <v>-7818</v>
      </c>
      <c r="P280" s="68">
        <v>-9292</v>
      </c>
      <c r="Q280" s="68">
        <v>-17110</v>
      </c>
    </row>
    <row r="281" spans="1:17" ht="12" customHeight="1">
      <c r="A281" s="413">
        <v>2300</v>
      </c>
      <c r="B281" s="414" t="s">
        <v>263</v>
      </c>
      <c r="C281" s="84">
        <v>199460</v>
      </c>
      <c r="D281" s="84">
        <v>3372</v>
      </c>
      <c r="E281" s="84">
        <v>4265</v>
      </c>
      <c r="F281" s="84">
        <v>38385</v>
      </c>
      <c r="G281" s="84">
        <v>82851</v>
      </c>
      <c r="H281" s="84">
        <v>128873</v>
      </c>
      <c r="I281" s="84"/>
      <c r="J281" s="84">
        <v>36112</v>
      </c>
      <c r="K281" s="84">
        <v>188157</v>
      </c>
      <c r="L281" s="84">
        <v>29759</v>
      </c>
      <c r="M281" s="84">
        <v>254028</v>
      </c>
      <c r="N281" s="85"/>
      <c r="O281" s="85">
        <v>-54455</v>
      </c>
      <c r="P281" s="85">
        <v>-14257</v>
      </c>
      <c r="Q281" s="85">
        <v>-68712</v>
      </c>
    </row>
    <row r="282" spans="1:17" ht="12" customHeight="1">
      <c r="A282" s="411">
        <v>2720</v>
      </c>
      <c r="B282" s="415" t="s">
        <v>264</v>
      </c>
      <c r="C282" s="67">
        <v>2307091</v>
      </c>
      <c r="D282" s="67">
        <v>39002</v>
      </c>
      <c r="E282" s="67">
        <v>49329</v>
      </c>
      <c r="F282" s="67">
        <v>443992</v>
      </c>
      <c r="G282" s="67">
        <v>102855</v>
      </c>
      <c r="H282" s="67">
        <v>635178</v>
      </c>
      <c r="I282" s="67"/>
      <c r="J282" s="67">
        <v>417700</v>
      </c>
      <c r="K282" s="67">
        <v>2176360</v>
      </c>
      <c r="L282" s="67">
        <v>220924</v>
      </c>
      <c r="M282" s="67">
        <v>2814984</v>
      </c>
      <c r="N282" s="68"/>
      <c r="O282" s="68">
        <v>-629863</v>
      </c>
      <c r="P282" s="68">
        <v>-65437</v>
      </c>
      <c r="Q282" s="68">
        <v>-695300</v>
      </c>
    </row>
    <row r="283" spans="1:17" ht="12" customHeight="1">
      <c r="A283" s="413">
        <v>2750</v>
      </c>
      <c r="B283" s="414" t="s">
        <v>265</v>
      </c>
      <c r="C283" s="84">
        <v>173011</v>
      </c>
      <c r="D283" s="84">
        <v>2925</v>
      </c>
      <c r="E283" s="84">
        <v>3699</v>
      </c>
      <c r="F283" s="84">
        <v>33295</v>
      </c>
      <c r="G283" s="84">
        <v>47214</v>
      </c>
      <c r="H283" s="84">
        <v>87133</v>
      </c>
      <c r="I283" s="84"/>
      <c r="J283" s="84">
        <v>31324</v>
      </c>
      <c r="K283" s="84">
        <v>163207</v>
      </c>
      <c r="L283" s="84">
        <v>26770</v>
      </c>
      <c r="M283" s="84">
        <v>221301</v>
      </c>
      <c r="N283" s="85"/>
      <c r="O283" s="85">
        <v>-47234</v>
      </c>
      <c r="P283" s="85">
        <v>-494</v>
      </c>
      <c r="Q283" s="85">
        <v>-47728</v>
      </c>
    </row>
    <row r="284" spans="1:17" ht="12" customHeight="1">
      <c r="A284" s="411">
        <v>2770</v>
      </c>
      <c r="B284" s="415" t="s">
        <v>266</v>
      </c>
      <c r="C284" s="67">
        <v>1933744</v>
      </c>
      <c r="D284" s="67">
        <v>32690</v>
      </c>
      <c r="E284" s="67">
        <v>41346</v>
      </c>
      <c r="F284" s="67">
        <v>372142</v>
      </c>
      <c r="G284" s="67">
        <v>339731</v>
      </c>
      <c r="H284" s="67">
        <v>785909</v>
      </c>
      <c r="I284" s="67"/>
      <c r="J284" s="67">
        <v>350105</v>
      </c>
      <c r="K284" s="67">
        <v>1824168</v>
      </c>
      <c r="L284" s="67">
        <v>487777</v>
      </c>
      <c r="M284" s="67">
        <v>2662050</v>
      </c>
      <c r="N284" s="68"/>
      <c r="O284" s="68">
        <v>-527935</v>
      </c>
      <c r="P284" s="68">
        <v>-136330</v>
      </c>
      <c r="Q284" s="68">
        <v>-664265</v>
      </c>
    </row>
    <row r="285" spans="1:17" ht="12" customHeight="1">
      <c r="A285" s="413">
        <v>32106</v>
      </c>
      <c r="B285" s="414" t="s">
        <v>267</v>
      </c>
      <c r="C285" s="84">
        <v>179374</v>
      </c>
      <c r="D285" s="84">
        <v>3032</v>
      </c>
      <c r="E285" s="84">
        <v>3835</v>
      </c>
      <c r="F285" s="84">
        <v>34520</v>
      </c>
      <c r="G285" s="84">
        <v>119656</v>
      </c>
      <c r="H285" s="84">
        <v>161043</v>
      </c>
      <c r="I285" s="84"/>
      <c r="J285" s="84">
        <v>32476</v>
      </c>
      <c r="K285" s="84">
        <v>169210</v>
      </c>
      <c r="L285" s="84">
        <v>210572</v>
      </c>
      <c r="M285" s="84">
        <v>412258</v>
      </c>
      <c r="N285" s="85"/>
      <c r="O285" s="85">
        <v>-48971</v>
      </c>
      <c r="P285" s="85">
        <v>28071</v>
      </c>
      <c r="Q285" s="85">
        <v>-20900</v>
      </c>
    </row>
    <row r="286" spans="1:17" ht="12" customHeight="1">
      <c r="A286" s="411">
        <v>4180</v>
      </c>
      <c r="B286" s="415" t="s">
        <v>268</v>
      </c>
      <c r="C286" s="67">
        <v>220289</v>
      </c>
      <c r="D286" s="67">
        <v>3724</v>
      </c>
      <c r="E286" s="67">
        <v>4710</v>
      </c>
      <c r="F286" s="67">
        <v>42394</v>
      </c>
      <c r="G286" s="67">
        <v>54299</v>
      </c>
      <c r="H286" s="67">
        <v>105127</v>
      </c>
      <c r="I286" s="67"/>
      <c r="J286" s="67">
        <v>39883</v>
      </c>
      <c r="K286" s="67">
        <v>207806</v>
      </c>
      <c r="L286" s="67">
        <v>106825</v>
      </c>
      <c r="M286" s="67">
        <v>354514</v>
      </c>
      <c r="N286" s="68"/>
      <c r="O286" s="68">
        <v>-60141</v>
      </c>
      <c r="P286" s="68">
        <v>-8105</v>
      </c>
      <c r="Q286" s="68">
        <v>-68246</v>
      </c>
    </row>
    <row r="287" spans="1:17" ht="12" customHeight="1">
      <c r="A287" s="413">
        <v>21063</v>
      </c>
      <c r="B287" s="414" t="s">
        <v>269</v>
      </c>
      <c r="C287" s="84">
        <v>3131512</v>
      </c>
      <c r="D287" s="84">
        <v>52938</v>
      </c>
      <c r="E287" s="84">
        <v>66956</v>
      </c>
      <c r="F287" s="84">
        <v>602649</v>
      </c>
      <c r="G287" s="84">
        <v>150284</v>
      </c>
      <c r="H287" s="84">
        <v>872827</v>
      </c>
      <c r="I287" s="84"/>
      <c r="J287" s="84">
        <v>566962</v>
      </c>
      <c r="K287" s="84">
        <v>2954065</v>
      </c>
      <c r="L287" s="84">
        <v>185062</v>
      </c>
      <c r="M287" s="84">
        <v>3706089</v>
      </c>
      <c r="N287" s="85"/>
      <c r="O287" s="85">
        <v>-854940</v>
      </c>
      <c r="P287" s="85">
        <v>-59747</v>
      </c>
      <c r="Q287" s="85">
        <v>-914687</v>
      </c>
    </row>
    <row r="288" spans="1:17" ht="12" customHeight="1">
      <c r="A288" s="411">
        <v>10033</v>
      </c>
      <c r="B288" s="415" t="s">
        <v>270</v>
      </c>
      <c r="C288" s="67">
        <v>2273640</v>
      </c>
      <c r="D288" s="67">
        <v>38436</v>
      </c>
      <c r="E288" s="67">
        <v>48614</v>
      </c>
      <c r="F288" s="67">
        <v>437554</v>
      </c>
      <c r="G288" s="67">
        <v>180539</v>
      </c>
      <c r="H288" s="67">
        <v>705143</v>
      </c>
      <c r="I288" s="67"/>
      <c r="J288" s="67">
        <v>411643</v>
      </c>
      <c r="K288" s="67">
        <v>2144804</v>
      </c>
      <c r="L288" s="67">
        <v>125765</v>
      </c>
      <c r="M288" s="67">
        <v>2682212</v>
      </c>
      <c r="N288" s="68"/>
      <c r="O288" s="68">
        <v>-620730</v>
      </c>
      <c r="P288" s="68">
        <v>-18192</v>
      </c>
      <c r="Q288" s="68">
        <v>-638922</v>
      </c>
    </row>
    <row r="289" spans="1:17" ht="12" customHeight="1">
      <c r="A289" s="413">
        <v>15049</v>
      </c>
      <c r="B289" s="414" t="s">
        <v>271</v>
      </c>
      <c r="C289" s="84">
        <v>2546707</v>
      </c>
      <c r="D289" s="84">
        <v>43052</v>
      </c>
      <c r="E289" s="84">
        <v>54452</v>
      </c>
      <c r="F289" s="84">
        <v>490105</v>
      </c>
      <c r="G289" s="84">
        <v>535625</v>
      </c>
      <c r="H289" s="84">
        <v>1123234</v>
      </c>
      <c r="I289" s="84"/>
      <c r="J289" s="84">
        <v>461082</v>
      </c>
      <c r="K289" s="84">
        <v>2402398</v>
      </c>
      <c r="L289" s="84">
        <v>38380</v>
      </c>
      <c r="M289" s="84">
        <v>2901860</v>
      </c>
      <c r="N289" s="85"/>
      <c r="O289" s="85">
        <v>-695281</v>
      </c>
      <c r="P289" s="85">
        <v>57958</v>
      </c>
      <c r="Q289" s="85">
        <v>-637323</v>
      </c>
    </row>
    <row r="290" spans="1:17" ht="12" customHeight="1">
      <c r="A290" s="411">
        <v>1315</v>
      </c>
      <c r="B290" s="415" t="s">
        <v>272</v>
      </c>
      <c r="C290" s="67">
        <v>1531004</v>
      </c>
      <c r="D290" s="67">
        <v>25882</v>
      </c>
      <c r="E290" s="67">
        <v>32735</v>
      </c>
      <c r="F290" s="67">
        <v>294636</v>
      </c>
      <c r="G290" s="67">
        <v>684837</v>
      </c>
      <c r="H290" s="67">
        <v>1038090</v>
      </c>
      <c r="I290" s="67"/>
      <c r="J290" s="67">
        <v>277189</v>
      </c>
      <c r="K290" s="67">
        <v>1444249</v>
      </c>
      <c r="L290" s="67">
        <v>0</v>
      </c>
      <c r="M290" s="67">
        <v>1721438</v>
      </c>
      <c r="N290" s="68"/>
      <c r="O290" s="68">
        <v>-417982</v>
      </c>
      <c r="P290" s="68">
        <v>314922</v>
      </c>
      <c r="Q290" s="68">
        <v>-103060</v>
      </c>
    </row>
    <row r="291" spans="1:17" ht="12" customHeight="1">
      <c r="A291" s="413">
        <v>3340</v>
      </c>
      <c r="B291" s="414" t="s">
        <v>273</v>
      </c>
      <c r="C291" s="84">
        <v>490858</v>
      </c>
      <c r="D291" s="84">
        <v>8298</v>
      </c>
      <c r="E291" s="84">
        <v>10495</v>
      </c>
      <c r="F291" s="84">
        <v>94464</v>
      </c>
      <c r="G291" s="84">
        <v>76892</v>
      </c>
      <c r="H291" s="84">
        <v>190149</v>
      </c>
      <c r="I291" s="84"/>
      <c r="J291" s="84">
        <v>88870</v>
      </c>
      <c r="K291" s="84">
        <v>463044</v>
      </c>
      <c r="L291" s="84">
        <v>258112</v>
      </c>
      <c r="M291" s="84">
        <v>810026</v>
      </c>
      <c r="N291" s="85"/>
      <c r="O291" s="85">
        <v>-134010</v>
      </c>
      <c r="P291" s="85">
        <v>-51570</v>
      </c>
      <c r="Q291" s="85">
        <v>-185580</v>
      </c>
    </row>
    <row r="292" spans="1:17" ht="12" customHeight="1">
      <c r="A292" s="411">
        <v>3350</v>
      </c>
      <c r="B292" s="415" t="s">
        <v>274</v>
      </c>
      <c r="C292" s="67">
        <v>3418242</v>
      </c>
      <c r="D292" s="67">
        <v>57786</v>
      </c>
      <c r="E292" s="67">
        <v>73087</v>
      </c>
      <c r="F292" s="67">
        <v>657829</v>
      </c>
      <c r="G292" s="67">
        <v>1228196</v>
      </c>
      <c r="H292" s="67">
        <v>2016898</v>
      </c>
      <c r="I292" s="67"/>
      <c r="J292" s="67">
        <v>618874</v>
      </c>
      <c r="K292" s="67">
        <v>3224548</v>
      </c>
      <c r="L292" s="67">
        <v>1437043</v>
      </c>
      <c r="M292" s="67">
        <v>5280465</v>
      </c>
      <c r="N292" s="68"/>
      <c r="O292" s="68">
        <v>-933221</v>
      </c>
      <c r="P292" s="68">
        <v>-282442</v>
      </c>
      <c r="Q292" s="68">
        <v>-1215663</v>
      </c>
    </row>
    <row r="293" spans="1:17" ht="12" customHeight="1">
      <c r="A293" s="413">
        <v>24073</v>
      </c>
      <c r="B293" s="414" t="s">
        <v>275</v>
      </c>
      <c r="C293" s="84">
        <v>417087</v>
      </c>
      <c r="D293" s="84">
        <v>7051</v>
      </c>
      <c r="E293" s="84">
        <v>8918</v>
      </c>
      <c r="F293" s="84">
        <v>80267</v>
      </c>
      <c r="G293" s="84">
        <v>122641</v>
      </c>
      <c r="H293" s="84">
        <v>218877</v>
      </c>
      <c r="I293" s="84"/>
      <c r="J293" s="84">
        <v>75514</v>
      </c>
      <c r="K293" s="84">
        <v>393453</v>
      </c>
      <c r="L293" s="84">
        <v>54415</v>
      </c>
      <c r="M293" s="84">
        <v>523382</v>
      </c>
      <c r="N293" s="85"/>
      <c r="O293" s="85">
        <v>-113870</v>
      </c>
      <c r="P293" s="85">
        <v>11071</v>
      </c>
      <c r="Q293" s="85">
        <v>-102799</v>
      </c>
    </row>
    <row r="294" spans="1:17" ht="12" customHeight="1">
      <c r="A294" s="411">
        <v>2100</v>
      </c>
      <c r="B294" s="415" t="s">
        <v>276</v>
      </c>
      <c r="C294" s="67">
        <v>441886</v>
      </c>
      <c r="D294" s="67">
        <v>7470</v>
      </c>
      <c r="E294" s="67">
        <v>9448</v>
      </c>
      <c r="F294" s="67">
        <v>85039</v>
      </c>
      <c r="G294" s="67">
        <v>21849</v>
      </c>
      <c r="H294" s="67">
        <v>123806</v>
      </c>
      <c r="I294" s="67"/>
      <c r="J294" s="67">
        <v>80004</v>
      </c>
      <c r="K294" s="67">
        <v>416846</v>
      </c>
      <c r="L294" s="67">
        <v>128338</v>
      </c>
      <c r="M294" s="67">
        <v>625188</v>
      </c>
      <c r="N294" s="68"/>
      <c r="O294" s="68">
        <v>-120640</v>
      </c>
      <c r="P294" s="68">
        <v>-23728</v>
      </c>
      <c r="Q294" s="68">
        <v>-144368</v>
      </c>
    </row>
    <row r="295" spans="1:17" ht="12" customHeight="1">
      <c r="A295" s="413">
        <v>2130</v>
      </c>
      <c r="B295" s="414" t="s">
        <v>277</v>
      </c>
      <c r="C295" s="84">
        <v>112531</v>
      </c>
      <c r="D295" s="84">
        <v>1902</v>
      </c>
      <c r="E295" s="84">
        <v>2406</v>
      </c>
      <c r="F295" s="84">
        <v>21656</v>
      </c>
      <c r="G295" s="84">
        <v>7722</v>
      </c>
      <c r="H295" s="84">
        <v>33686</v>
      </c>
      <c r="I295" s="84"/>
      <c r="J295" s="84">
        <v>20374</v>
      </c>
      <c r="K295" s="84">
        <v>106154</v>
      </c>
      <c r="L295" s="84">
        <v>109928</v>
      </c>
      <c r="M295" s="84">
        <v>236456</v>
      </c>
      <c r="N295" s="85"/>
      <c r="O295" s="85">
        <v>-30722</v>
      </c>
      <c r="P295" s="85">
        <v>-24750</v>
      </c>
      <c r="Q295" s="85">
        <v>-55472</v>
      </c>
    </row>
    <row r="296" spans="1:17" ht="12" customHeight="1">
      <c r="A296" s="411">
        <v>32099</v>
      </c>
      <c r="B296" s="415" t="s">
        <v>278</v>
      </c>
      <c r="C296" s="67">
        <v>176356</v>
      </c>
      <c r="D296" s="67">
        <v>2981</v>
      </c>
      <c r="E296" s="67">
        <v>3771</v>
      </c>
      <c r="F296" s="67">
        <v>33939</v>
      </c>
      <c r="G296" s="67">
        <v>34891</v>
      </c>
      <c r="H296" s="67">
        <v>75582</v>
      </c>
      <c r="I296" s="67"/>
      <c r="J296" s="67">
        <v>31929</v>
      </c>
      <c r="K296" s="67">
        <v>166363</v>
      </c>
      <c r="L296" s="67">
        <v>42087</v>
      </c>
      <c r="M296" s="67">
        <v>240379</v>
      </c>
      <c r="N296" s="68"/>
      <c r="O296" s="68">
        <v>-48147</v>
      </c>
      <c r="P296" s="68">
        <v>-15878</v>
      </c>
      <c r="Q296" s="68">
        <v>-64025</v>
      </c>
    </row>
    <row r="297" spans="1:17" ht="12" customHeight="1">
      <c r="A297" s="413">
        <v>32100</v>
      </c>
      <c r="B297" s="414" t="s">
        <v>279</v>
      </c>
      <c r="C297" s="84">
        <v>344312</v>
      </c>
      <c r="D297" s="84">
        <v>5821</v>
      </c>
      <c r="E297" s="84">
        <v>7362</v>
      </c>
      <c r="F297" s="84">
        <v>66262</v>
      </c>
      <c r="G297" s="84">
        <v>69840</v>
      </c>
      <c r="H297" s="84">
        <v>149285</v>
      </c>
      <c r="I297" s="84"/>
      <c r="J297" s="84">
        <v>62338</v>
      </c>
      <c r="K297" s="84">
        <v>324801</v>
      </c>
      <c r="L297" s="84">
        <v>98228</v>
      </c>
      <c r="M297" s="84">
        <v>485367</v>
      </c>
      <c r="N297" s="85"/>
      <c r="O297" s="85">
        <v>-94001</v>
      </c>
      <c r="P297" s="85">
        <v>11415</v>
      </c>
      <c r="Q297" s="85">
        <v>-82586</v>
      </c>
    </row>
    <row r="298" spans="1:17" ht="12" customHeight="1">
      <c r="A298" s="411">
        <v>32101</v>
      </c>
      <c r="B298" s="415" t="s">
        <v>280</v>
      </c>
      <c r="C298" s="67">
        <v>135560</v>
      </c>
      <c r="D298" s="67">
        <v>2292</v>
      </c>
      <c r="E298" s="67">
        <v>2898</v>
      </c>
      <c r="F298" s="67">
        <v>26088</v>
      </c>
      <c r="G298" s="67">
        <v>208267</v>
      </c>
      <c r="H298" s="67">
        <v>239545</v>
      </c>
      <c r="I298" s="67"/>
      <c r="J298" s="67">
        <v>24543</v>
      </c>
      <c r="K298" s="67">
        <v>127878</v>
      </c>
      <c r="L298" s="67">
        <v>136006</v>
      </c>
      <c r="M298" s="67">
        <v>288427</v>
      </c>
      <c r="N298" s="68"/>
      <c r="O298" s="68">
        <v>-37009</v>
      </c>
      <c r="P298" s="68">
        <v>4878</v>
      </c>
      <c r="Q298" s="68">
        <v>-32131</v>
      </c>
    </row>
    <row r="299" spans="1:17" ht="12" customHeight="1">
      <c r="A299" s="413">
        <v>32102</v>
      </c>
      <c r="B299" s="414" t="s">
        <v>281</v>
      </c>
      <c r="C299" s="416">
        <v>185529</v>
      </c>
      <c r="D299" s="416">
        <v>3136</v>
      </c>
      <c r="E299" s="416">
        <v>3967</v>
      </c>
      <c r="F299" s="416">
        <v>35704</v>
      </c>
      <c r="G299" s="416">
        <v>16553</v>
      </c>
      <c r="H299" s="416">
        <v>59360</v>
      </c>
      <c r="I299" s="416"/>
      <c r="J299" s="416">
        <v>33590</v>
      </c>
      <c r="K299" s="416">
        <v>175016</v>
      </c>
      <c r="L299" s="416">
        <v>57662</v>
      </c>
      <c r="M299" s="416">
        <v>266268</v>
      </c>
      <c r="N299" s="417"/>
      <c r="O299" s="417">
        <v>-50652</v>
      </c>
      <c r="P299" s="417">
        <v>-13721</v>
      </c>
      <c r="Q299" s="417">
        <v>-64373</v>
      </c>
    </row>
    <row r="300" spans="1:17" ht="12" customHeight="1">
      <c r="A300" s="411">
        <v>2880</v>
      </c>
      <c r="B300" s="415" t="s">
        <v>282</v>
      </c>
      <c r="C300" s="67">
        <v>60673</v>
      </c>
      <c r="D300" s="67">
        <v>1026</v>
      </c>
      <c r="E300" s="67">
        <v>1297</v>
      </c>
      <c r="F300" s="67">
        <v>11676</v>
      </c>
      <c r="G300" s="67">
        <v>16171</v>
      </c>
      <c r="H300" s="67">
        <v>30170</v>
      </c>
      <c r="I300" s="67"/>
      <c r="J300" s="67">
        <v>10985</v>
      </c>
      <c r="K300" s="67">
        <v>57235</v>
      </c>
      <c r="L300" s="67">
        <v>23595</v>
      </c>
      <c r="M300" s="67">
        <v>91815</v>
      </c>
      <c r="N300" s="68"/>
      <c r="O300" s="68">
        <v>-16565</v>
      </c>
      <c r="P300" s="68">
        <v>-1026</v>
      </c>
      <c r="Q300" s="68">
        <v>-17591</v>
      </c>
    </row>
    <row r="301" spans="1:17" ht="12" customHeight="1">
      <c r="A301" s="413">
        <v>2490</v>
      </c>
      <c r="B301" s="414" t="s">
        <v>283</v>
      </c>
      <c r="C301" s="84">
        <v>492509</v>
      </c>
      <c r="D301" s="84">
        <v>8326</v>
      </c>
      <c r="E301" s="84">
        <v>10531</v>
      </c>
      <c r="F301" s="84">
        <v>94782</v>
      </c>
      <c r="G301" s="84">
        <v>91329</v>
      </c>
      <c r="H301" s="84">
        <v>204968</v>
      </c>
      <c r="I301" s="84"/>
      <c r="J301" s="84">
        <v>89169</v>
      </c>
      <c r="K301" s="84">
        <v>464601</v>
      </c>
      <c r="L301" s="84">
        <v>125276</v>
      </c>
      <c r="M301" s="84">
        <v>679046</v>
      </c>
      <c r="N301" s="85"/>
      <c r="O301" s="85">
        <v>-134461</v>
      </c>
      <c r="P301" s="85">
        <v>-15099</v>
      </c>
      <c r="Q301" s="85">
        <v>-149560</v>
      </c>
    </row>
    <row r="302" spans="1:17" ht="12" customHeight="1">
      <c r="A302" s="411">
        <v>2530</v>
      </c>
      <c r="B302" s="415" t="s">
        <v>284</v>
      </c>
      <c r="C302" s="67">
        <v>87985</v>
      </c>
      <c r="D302" s="67">
        <v>1487</v>
      </c>
      <c r="E302" s="67">
        <v>1881</v>
      </c>
      <c r="F302" s="67">
        <v>16932</v>
      </c>
      <c r="G302" s="67">
        <v>89761</v>
      </c>
      <c r="H302" s="67">
        <v>110061</v>
      </c>
      <c r="I302" s="67"/>
      <c r="J302" s="67">
        <v>15930</v>
      </c>
      <c r="K302" s="67">
        <v>82999</v>
      </c>
      <c r="L302" s="67">
        <v>133748</v>
      </c>
      <c r="M302" s="67">
        <v>232677</v>
      </c>
      <c r="N302" s="68"/>
      <c r="O302" s="68">
        <v>-24021</v>
      </c>
      <c r="P302" s="68">
        <v>-12194</v>
      </c>
      <c r="Q302" s="68">
        <v>-36215</v>
      </c>
    </row>
    <row r="303" spans="1:17" ht="12" customHeight="1">
      <c r="A303" s="413">
        <v>2560</v>
      </c>
      <c r="B303" s="414" t="s">
        <v>285</v>
      </c>
      <c r="C303" s="84">
        <v>202195</v>
      </c>
      <c r="D303" s="84">
        <v>3418</v>
      </c>
      <c r="E303" s="84">
        <v>4323</v>
      </c>
      <c r="F303" s="84">
        <v>38912</v>
      </c>
      <c r="G303" s="84">
        <v>98285</v>
      </c>
      <c r="H303" s="84">
        <v>144938</v>
      </c>
      <c r="I303" s="84"/>
      <c r="J303" s="84">
        <v>36608</v>
      </c>
      <c r="K303" s="84">
        <v>190738</v>
      </c>
      <c r="L303" s="84">
        <v>68470</v>
      </c>
      <c r="M303" s="84">
        <v>295816</v>
      </c>
      <c r="N303" s="85"/>
      <c r="O303" s="85">
        <v>-55202</v>
      </c>
      <c r="P303" s="85">
        <v>-1019</v>
      </c>
      <c r="Q303" s="85">
        <v>-56221</v>
      </c>
    </row>
    <row r="304" spans="1:17" ht="12" customHeight="1">
      <c r="A304" s="411">
        <v>2610</v>
      </c>
      <c r="B304" s="415" t="s">
        <v>286</v>
      </c>
      <c r="C304" s="67">
        <v>55113</v>
      </c>
      <c r="D304" s="67">
        <v>932</v>
      </c>
      <c r="E304" s="67">
        <v>1178</v>
      </c>
      <c r="F304" s="67">
        <v>10606</v>
      </c>
      <c r="G304" s="67">
        <v>12749</v>
      </c>
      <c r="H304" s="67">
        <v>25465</v>
      </c>
      <c r="I304" s="67"/>
      <c r="J304" s="67">
        <v>9978</v>
      </c>
      <c r="K304" s="67">
        <v>51990</v>
      </c>
      <c r="L304" s="67">
        <v>21878</v>
      </c>
      <c r="M304" s="67">
        <v>83846</v>
      </c>
      <c r="N304" s="68"/>
      <c r="O304" s="68">
        <v>-15047</v>
      </c>
      <c r="P304" s="68">
        <v>-926</v>
      </c>
      <c r="Q304" s="68">
        <v>-15973</v>
      </c>
    </row>
    <row r="305" spans="1:17" ht="12" customHeight="1">
      <c r="A305" s="413">
        <v>2800</v>
      </c>
      <c r="B305" s="414" t="s">
        <v>287</v>
      </c>
      <c r="C305" s="84">
        <v>173442</v>
      </c>
      <c r="D305" s="84">
        <v>2932</v>
      </c>
      <c r="E305" s="84">
        <v>3708</v>
      </c>
      <c r="F305" s="84">
        <v>33378</v>
      </c>
      <c r="G305" s="84">
        <v>83159</v>
      </c>
      <c r="H305" s="84">
        <v>123177</v>
      </c>
      <c r="I305" s="84"/>
      <c r="J305" s="84">
        <v>31402</v>
      </c>
      <c r="K305" s="84">
        <v>163614</v>
      </c>
      <c r="L305" s="84">
        <v>1737</v>
      </c>
      <c r="M305" s="84">
        <v>196753</v>
      </c>
      <c r="N305" s="85"/>
      <c r="O305" s="85">
        <v>-47352</v>
      </c>
      <c r="P305" s="85">
        <v>35473</v>
      </c>
      <c r="Q305" s="85">
        <v>-11879</v>
      </c>
    </row>
    <row r="306" spans="1:17" ht="12" customHeight="1">
      <c r="A306" s="411">
        <v>20317</v>
      </c>
      <c r="B306" s="415" t="s">
        <v>288</v>
      </c>
      <c r="C306" s="67">
        <v>326203</v>
      </c>
      <c r="D306" s="67">
        <v>5514</v>
      </c>
      <c r="E306" s="67">
        <v>6975</v>
      </c>
      <c r="F306" s="67">
        <v>62777</v>
      </c>
      <c r="G306" s="67">
        <v>187860</v>
      </c>
      <c r="H306" s="67">
        <v>263126</v>
      </c>
      <c r="I306" s="67"/>
      <c r="J306" s="67">
        <v>59059</v>
      </c>
      <c r="K306" s="67">
        <v>307719</v>
      </c>
      <c r="L306" s="67">
        <v>89541</v>
      </c>
      <c r="M306" s="67">
        <v>456319</v>
      </c>
      <c r="N306" s="68"/>
      <c r="O306" s="68">
        <v>-89057</v>
      </c>
      <c r="P306" s="68">
        <v>31160</v>
      </c>
      <c r="Q306" s="68">
        <v>-57897</v>
      </c>
    </row>
    <row r="307" spans="1:17" ht="12" customHeight="1">
      <c r="A307" s="413">
        <v>2442</v>
      </c>
      <c r="B307" s="414" t="s">
        <v>426</v>
      </c>
      <c r="C307" s="84">
        <v>154367</v>
      </c>
      <c r="D307" s="84">
        <v>2610</v>
      </c>
      <c r="E307" s="84">
        <v>3301</v>
      </c>
      <c r="F307" s="84">
        <v>29707</v>
      </c>
      <c r="G307" s="84">
        <v>263122</v>
      </c>
      <c r="H307" s="84">
        <v>298740</v>
      </c>
      <c r="I307" s="84"/>
      <c r="J307" s="84">
        <v>27948</v>
      </c>
      <c r="K307" s="84">
        <v>145620</v>
      </c>
      <c r="L307" s="84">
        <v>0</v>
      </c>
      <c r="M307" s="84">
        <v>173568</v>
      </c>
      <c r="N307" s="85"/>
      <c r="O307" s="85">
        <v>-42144</v>
      </c>
      <c r="P307" s="85">
        <v>65490</v>
      </c>
      <c r="Q307" s="85">
        <v>23346</v>
      </c>
    </row>
    <row r="308" spans="1:17" ht="12" customHeight="1">
      <c r="A308" s="411">
        <v>30090</v>
      </c>
      <c r="B308" s="415" t="s">
        <v>289</v>
      </c>
      <c r="C308" s="67">
        <v>503585</v>
      </c>
      <c r="D308" s="67">
        <v>8513</v>
      </c>
      <c r="E308" s="67">
        <v>10767</v>
      </c>
      <c r="F308" s="67">
        <v>96913</v>
      </c>
      <c r="G308" s="67">
        <v>202165</v>
      </c>
      <c r="H308" s="67">
        <v>318358</v>
      </c>
      <c r="I308" s="67"/>
      <c r="J308" s="67">
        <v>91174</v>
      </c>
      <c r="K308" s="67">
        <v>475049</v>
      </c>
      <c r="L308" s="67">
        <v>159941</v>
      </c>
      <c r="M308" s="67">
        <v>726164</v>
      </c>
      <c r="N308" s="68"/>
      <c r="O308" s="68">
        <v>-137485</v>
      </c>
      <c r="P308" s="68">
        <v>2381</v>
      </c>
      <c r="Q308" s="68">
        <v>-135104</v>
      </c>
    </row>
    <row r="309" spans="1:17" ht="12" customHeight="1">
      <c r="A309" s="413">
        <v>29330</v>
      </c>
      <c r="B309" s="414" t="s">
        <v>290</v>
      </c>
      <c r="C309" s="84">
        <v>229700</v>
      </c>
      <c r="D309" s="84">
        <v>3883</v>
      </c>
      <c r="E309" s="84">
        <v>4911</v>
      </c>
      <c r="F309" s="84">
        <v>44205</v>
      </c>
      <c r="G309" s="84">
        <v>68096</v>
      </c>
      <c r="H309" s="84">
        <v>121095</v>
      </c>
      <c r="I309" s="84"/>
      <c r="J309" s="84">
        <v>41587</v>
      </c>
      <c r="K309" s="84">
        <v>216684</v>
      </c>
      <c r="L309" s="84">
        <v>32431</v>
      </c>
      <c r="M309" s="84">
        <v>290702</v>
      </c>
      <c r="N309" s="85"/>
      <c r="O309" s="85">
        <v>-62711</v>
      </c>
      <c r="P309" s="85">
        <v>13863</v>
      </c>
      <c r="Q309" s="85">
        <v>-48848</v>
      </c>
    </row>
    <row r="310" spans="1:17" ht="12" customHeight="1">
      <c r="A310" s="411">
        <v>12038</v>
      </c>
      <c r="B310" s="415" t="s">
        <v>291</v>
      </c>
      <c r="C310" s="67">
        <v>4247614</v>
      </c>
      <c r="D310" s="67">
        <v>71806</v>
      </c>
      <c r="E310" s="67">
        <v>90820</v>
      </c>
      <c r="F310" s="67">
        <v>817439</v>
      </c>
      <c r="G310" s="67">
        <v>664984</v>
      </c>
      <c r="H310" s="67">
        <v>1645049</v>
      </c>
      <c r="I310" s="67"/>
      <c r="J310" s="67">
        <v>769032</v>
      </c>
      <c r="K310" s="67">
        <v>4006923</v>
      </c>
      <c r="L310" s="67">
        <v>44793</v>
      </c>
      <c r="M310" s="67">
        <v>4820748</v>
      </c>
      <c r="N310" s="68"/>
      <c r="O310" s="68">
        <v>-1159649</v>
      </c>
      <c r="P310" s="68">
        <v>308467</v>
      </c>
      <c r="Q310" s="68">
        <v>-851182</v>
      </c>
    </row>
    <row r="311" spans="1:17" ht="12" customHeight="1">
      <c r="A311" s="413">
        <v>8099</v>
      </c>
      <c r="B311" s="414" t="s">
        <v>292</v>
      </c>
      <c r="C311" s="84">
        <v>7201908</v>
      </c>
      <c r="D311" s="84">
        <v>121749</v>
      </c>
      <c r="E311" s="84">
        <v>153987</v>
      </c>
      <c r="F311" s="84">
        <v>1385982</v>
      </c>
      <c r="G311" s="84">
        <v>1083610</v>
      </c>
      <c r="H311" s="84">
        <v>2745328</v>
      </c>
      <c r="I311" s="84"/>
      <c r="J311" s="84">
        <v>1303908</v>
      </c>
      <c r="K311" s="84">
        <v>6793812</v>
      </c>
      <c r="L311" s="84">
        <v>329392</v>
      </c>
      <c r="M311" s="84">
        <v>8427112</v>
      </c>
      <c r="N311" s="85"/>
      <c r="O311" s="85">
        <v>-1966206</v>
      </c>
      <c r="P311" s="85">
        <v>-151531</v>
      </c>
      <c r="Q311" s="85">
        <v>-2117737</v>
      </c>
    </row>
    <row r="312" spans="1:17" ht="12" customHeight="1">
      <c r="A312" s="411">
        <v>2417</v>
      </c>
      <c r="B312" s="415" t="s">
        <v>293</v>
      </c>
      <c r="C312" s="67">
        <v>142934</v>
      </c>
      <c r="D312" s="67">
        <v>2416</v>
      </c>
      <c r="E312" s="67">
        <v>3056</v>
      </c>
      <c r="F312" s="67">
        <v>27507</v>
      </c>
      <c r="G312" s="67">
        <v>32384</v>
      </c>
      <c r="H312" s="67">
        <v>65363</v>
      </c>
      <c r="I312" s="67"/>
      <c r="J312" s="67">
        <v>25878</v>
      </c>
      <c r="K312" s="67">
        <v>134835</v>
      </c>
      <c r="L312" s="67">
        <v>15406</v>
      </c>
      <c r="M312" s="67">
        <v>176119</v>
      </c>
      <c r="N312" s="68"/>
      <c r="O312" s="68">
        <v>-39023</v>
      </c>
      <c r="P312" s="68">
        <v>12919</v>
      </c>
      <c r="Q312" s="68">
        <v>-26104</v>
      </c>
    </row>
    <row r="313" spans="1:17" ht="12" customHeight="1">
      <c r="A313" s="413">
        <v>13142</v>
      </c>
      <c r="B313" s="414" t="s">
        <v>294</v>
      </c>
      <c r="C313" s="84">
        <v>4416982</v>
      </c>
      <c r="D313" s="84">
        <v>74669</v>
      </c>
      <c r="E313" s="84">
        <v>94442</v>
      </c>
      <c r="F313" s="84">
        <v>850033</v>
      </c>
      <c r="G313" s="84">
        <v>908089</v>
      </c>
      <c r="H313" s="84">
        <v>1927233</v>
      </c>
      <c r="I313" s="84"/>
      <c r="J313" s="84">
        <v>799696</v>
      </c>
      <c r="K313" s="84">
        <v>4166694</v>
      </c>
      <c r="L313" s="84">
        <v>221833</v>
      </c>
      <c r="M313" s="84">
        <v>5188223</v>
      </c>
      <c r="N313" s="85"/>
      <c r="O313" s="85">
        <v>-1205888</v>
      </c>
      <c r="P313" s="85">
        <v>152733</v>
      </c>
      <c r="Q313" s="85">
        <v>-1053155</v>
      </c>
    </row>
    <row r="314" spans="1:17" ht="12" customHeight="1">
      <c r="A314" s="411">
        <v>4170</v>
      </c>
      <c r="B314" s="415" t="s">
        <v>588</v>
      </c>
      <c r="C314" s="67">
        <v>0</v>
      </c>
      <c r="D314" s="67">
        <v>0</v>
      </c>
      <c r="E314" s="67">
        <v>0</v>
      </c>
      <c r="F314" s="67">
        <v>0</v>
      </c>
      <c r="G314" s="67">
        <v>7142</v>
      </c>
      <c r="H314" s="67">
        <v>7142</v>
      </c>
      <c r="I314" s="67"/>
      <c r="J314" s="67">
        <v>0</v>
      </c>
      <c r="K314" s="67">
        <v>0</v>
      </c>
      <c r="L314" s="67">
        <v>192985</v>
      </c>
      <c r="M314" s="67">
        <v>192985</v>
      </c>
      <c r="N314" s="68"/>
      <c r="O314" s="68">
        <v>0</v>
      </c>
      <c r="P314" s="68">
        <v>-55338</v>
      </c>
      <c r="Q314" s="68">
        <v>-55338</v>
      </c>
    </row>
    <row r="315" spans="1:17" ht="12" customHeight="1">
      <c r="A315" s="413">
        <v>17334</v>
      </c>
      <c r="B315" s="414" t="s">
        <v>589</v>
      </c>
      <c r="C315" s="84">
        <v>0</v>
      </c>
      <c r="D315" s="84">
        <v>0</v>
      </c>
      <c r="E315" s="84">
        <v>0</v>
      </c>
      <c r="F315" s="84">
        <v>0</v>
      </c>
      <c r="G315" s="84">
        <v>0</v>
      </c>
      <c r="H315" s="84">
        <v>0</v>
      </c>
      <c r="I315" s="84"/>
      <c r="J315" s="84">
        <v>0</v>
      </c>
      <c r="K315" s="84">
        <v>0</v>
      </c>
      <c r="L315" s="84">
        <v>76784</v>
      </c>
      <c r="M315" s="84">
        <v>76784</v>
      </c>
      <c r="N315" s="85"/>
      <c r="O315" s="85">
        <v>0</v>
      </c>
      <c r="P315" s="85">
        <v>-32142</v>
      </c>
      <c r="Q315" s="85">
        <v>-32142</v>
      </c>
    </row>
    <row r="316" spans="1:17" ht="12" customHeight="1">
      <c r="A316" s="411">
        <v>2403</v>
      </c>
      <c r="B316" s="415" t="s">
        <v>590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/>
      <c r="J316" s="67">
        <v>0</v>
      </c>
      <c r="K316" s="67">
        <v>0</v>
      </c>
      <c r="L316" s="67">
        <v>47002</v>
      </c>
      <c r="M316" s="67">
        <v>47002</v>
      </c>
      <c r="N316" s="68"/>
      <c r="O316" s="68">
        <v>0</v>
      </c>
      <c r="P316" s="68">
        <v>-20435</v>
      </c>
      <c r="Q316" s="68">
        <v>-20435</v>
      </c>
    </row>
    <row r="317" spans="1:17" ht="12" customHeight="1">
      <c r="A317" s="413">
        <v>16358</v>
      </c>
      <c r="B317" s="414" t="s">
        <v>591</v>
      </c>
      <c r="C317" s="84">
        <v>0</v>
      </c>
      <c r="D317" s="84">
        <v>0</v>
      </c>
      <c r="E317" s="84">
        <v>0</v>
      </c>
      <c r="F317" s="84">
        <v>0</v>
      </c>
      <c r="G317" s="84">
        <v>0</v>
      </c>
      <c r="H317" s="84">
        <v>0</v>
      </c>
      <c r="I317" s="84"/>
      <c r="J317" s="84">
        <v>0</v>
      </c>
      <c r="K317" s="84">
        <v>0</v>
      </c>
      <c r="L317" s="84">
        <v>121078</v>
      </c>
      <c r="M317" s="84">
        <v>121078</v>
      </c>
      <c r="N317" s="85"/>
      <c r="O317" s="85">
        <v>0</v>
      </c>
      <c r="P317" s="85">
        <v>-188138</v>
      </c>
      <c r="Q317" s="85">
        <v>-188138</v>
      </c>
    </row>
    <row r="318" spans="1:17" ht="12" customHeight="1">
      <c r="A318" s="411">
        <v>2357</v>
      </c>
      <c r="B318" s="415" t="s">
        <v>592</v>
      </c>
      <c r="C318" s="67">
        <v>0</v>
      </c>
      <c r="D318" s="67">
        <v>0</v>
      </c>
      <c r="E318" s="67">
        <v>0</v>
      </c>
      <c r="F318" s="67">
        <v>0</v>
      </c>
      <c r="G318" s="67">
        <v>0</v>
      </c>
      <c r="H318" s="67">
        <v>0</v>
      </c>
      <c r="I318" s="67"/>
      <c r="J318" s="67">
        <v>0</v>
      </c>
      <c r="K318" s="67">
        <v>0</v>
      </c>
      <c r="L318" s="67">
        <v>56440</v>
      </c>
      <c r="M318" s="67">
        <v>56440</v>
      </c>
      <c r="N318" s="68"/>
      <c r="O318" s="68">
        <v>0</v>
      </c>
      <c r="P318" s="68">
        <v>-97505</v>
      </c>
      <c r="Q318" s="68">
        <v>-97505</v>
      </c>
    </row>
    <row r="319" spans="1:17" ht="12" customHeight="1">
      <c r="A319" s="413">
        <v>16357</v>
      </c>
      <c r="B319" s="414" t="s">
        <v>593</v>
      </c>
      <c r="C319" s="84">
        <v>0</v>
      </c>
      <c r="D319" s="84">
        <v>0</v>
      </c>
      <c r="E319" s="84">
        <v>0</v>
      </c>
      <c r="F319" s="84">
        <v>0</v>
      </c>
      <c r="G319" s="84">
        <v>0</v>
      </c>
      <c r="H319" s="84">
        <v>0</v>
      </c>
      <c r="I319" s="84"/>
      <c r="J319" s="84">
        <v>0</v>
      </c>
      <c r="K319" s="84">
        <v>0</v>
      </c>
      <c r="L319" s="84">
        <v>74761</v>
      </c>
      <c r="M319" s="84">
        <v>74761</v>
      </c>
      <c r="N319" s="85"/>
      <c r="O319" s="85">
        <v>0</v>
      </c>
      <c r="P319" s="85">
        <v>-160368</v>
      </c>
      <c r="Q319" s="85">
        <v>-160368</v>
      </c>
    </row>
    <row r="320" spans="1:17" ht="12" customHeight="1">
      <c r="A320" s="411">
        <v>7339</v>
      </c>
      <c r="B320" s="415" t="s">
        <v>594</v>
      </c>
      <c r="C320" s="67">
        <v>0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/>
      <c r="J320" s="67">
        <v>0</v>
      </c>
      <c r="K320" s="67">
        <v>0</v>
      </c>
      <c r="L320" s="67">
        <v>75382</v>
      </c>
      <c r="M320" s="67">
        <v>75382</v>
      </c>
      <c r="N320" s="68"/>
      <c r="O320" s="68">
        <v>0</v>
      </c>
      <c r="P320" s="68">
        <v>-123875</v>
      </c>
      <c r="Q320" s="68">
        <v>-123875</v>
      </c>
    </row>
    <row r="321" spans="1:17" ht="12" customHeight="1">
      <c r="A321" s="413">
        <v>2344</v>
      </c>
      <c r="B321" s="414" t="s">
        <v>595</v>
      </c>
      <c r="C321" s="84">
        <v>0</v>
      </c>
      <c r="D321" s="84">
        <v>0</v>
      </c>
      <c r="E321" s="84">
        <v>0</v>
      </c>
      <c r="F321" s="84">
        <v>0</v>
      </c>
      <c r="G321" s="84">
        <v>0</v>
      </c>
      <c r="H321" s="84">
        <v>0</v>
      </c>
      <c r="I321" s="84"/>
      <c r="J321" s="84">
        <v>0</v>
      </c>
      <c r="K321" s="84">
        <v>0</v>
      </c>
      <c r="L321" s="84">
        <v>117353</v>
      </c>
      <c r="M321" s="84">
        <v>117353</v>
      </c>
      <c r="N321" s="85"/>
      <c r="O321" s="85">
        <v>0</v>
      </c>
      <c r="P321" s="85">
        <v>-200522</v>
      </c>
      <c r="Q321" s="85">
        <v>-200522</v>
      </c>
    </row>
    <row r="322" spans="1:17" ht="12" customHeight="1">
      <c r="A322" s="411">
        <v>2418</v>
      </c>
      <c r="B322" s="415" t="s">
        <v>596</v>
      </c>
      <c r="C322" s="67">
        <v>0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/>
      <c r="J322" s="67">
        <v>0</v>
      </c>
      <c r="K322" s="67">
        <v>0</v>
      </c>
      <c r="L322" s="67">
        <v>0</v>
      </c>
      <c r="M322" s="67">
        <v>0</v>
      </c>
      <c r="N322" s="68"/>
      <c r="O322" s="68">
        <v>0</v>
      </c>
      <c r="P322" s="68">
        <v>-91034</v>
      </c>
      <c r="Q322" s="68">
        <v>-91034</v>
      </c>
    </row>
    <row r="323" spans="1:17" ht="12" customHeight="1">
      <c r="A323" s="413">
        <v>2345</v>
      </c>
      <c r="B323" s="414" t="s">
        <v>597</v>
      </c>
      <c r="C323" s="84">
        <v>0</v>
      </c>
      <c r="D323" s="84">
        <v>0</v>
      </c>
      <c r="E323" s="84">
        <v>0</v>
      </c>
      <c r="F323" s="84">
        <v>0</v>
      </c>
      <c r="G323" s="84">
        <v>0</v>
      </c>
      <c r="H323" s="84">
        <v>0</v>
      </c>
      <c r="I323" s="84"/>
      <c r="J323" s="84">
        <v>0</v>
      </c>
      <c r="K323" s="84">
        <v>0</v>
      </c>
      <c r="L323" s="84">
        <v>0</v>
      </c>
      <c r="M323" s="84">
        <v>0</v>
      </c>
      <c r="N323" s="85"/>
      <c r="O323" s="85">
        <v>0</v>
      </c>
      <c r="P323" s="85">
        <v>-78216</v>
      </c>
      <c r="Q323" s="85">
        <v>-78216</v>
      </c>
    </row>
    <row r="324" spans="1:17" ht="12" customHeight="1">
      <c r="A324" s="411">
        <v>13430</v>
      </c>
      <c r="B324" s="415" t="s">
        <v>598</v>
      </c>
      <c r="C324" s="358">
        <v>0</v>
      </c>
      <c r="D324" s="358">
        <v>0</v>
      </c>
      <c r="E324" s="358">
        <v>0</v>
      </c>
      <c r="F324" s="358">
        <v>0</v>
      </c>
      <c r="G324" s="358">
        <v>0</v>
      </c>
      <c r="H324" s="358">
        <v>0</v>
      </c>
      <c r="I324" s="67"/>
      <c r="J324" s="358">
        <v>0</v>
      </c>
      <c r="K324" s="358">
        <v>0</v>
      </c>
      <c r="L324" s="358">
        <v>0</v>
      </c>
      <c r="M324" s="358">
        <v>0</v>
      </c>
      <c r="N324" s="68"/>
      <c r="O324" s="359">
        <v>0</v>
      </c>
      <c r="P324" s="359">
        <v>-135846</v>
      </c>
      <c r="Q324" s="359">
        <v>-135846</v>
      </c>
    </row>
    <row r="325" spans="1:17" ht="6.6" customHeight="1">
      <c r="A325" s="418"/>
      <c r="B325" s="402"/>
      <c r="C325" s="419"/>
      <c r="D325" s="419"/>
      <c r="E325" s="419"/>
      <c r="F325" s="419"/>
      <c r="G325" s="419"/>
      <c r="H325" s="419"/>
      <c r="I325" s="419"/>
      <c r="J325" s="419"/>
      <c r="K325" s="419"/>
      <c r="L325" s="419"/>
      <c r="M325" s="419"/>
      <c r="N325" s="420"/>
      <c r="O325" s="420"/>
      <c r="P325" s="420"/>
      <c r="Q325" s="420"/>
    </row>
    <row r="326" spans="1:17" ht="13.5" customHeight="1" thickBot="1">
      <c r="A326" s="421"/>
      <c r="B326" s="422"/>
      <c r="C326" s="423">
        <v>1702935655</v>
      </c>
      <c r="D326" s="423">
        <v>28788267</v>
      </c>
      <c r="E326" s="423">
        <f>(9255607+78545679+10599040)-61989084</f>
        <v>36411242</v>
      </c>
      <c r="F326" s="423">
        <v>327724074</v>
      </c>
      <c r="G326" s="423">
        <f>SUM(G10:G324)</f>
        <v>181268351</v>
      </c>
      <c r="H326" s="423">
        <f>SUM(H10:H324)</f>
        <v>574191934</v>
      </c>
      <c r="I326" s="424"/>
      <c r="J326" s="423">
        <v>308317217</v>
      </c>
      <c r="K326" s="423">
        <f>60761045+445605582+743284393+356787833</f>
        <v>1606438853</v>
      </c>
      <c r="L326" s="423">
        <f>SUM(L10:L324)</f>
        <v>181268351</v>
      </c>
      <c r="M326" s="423">
        <f>SUM(M10:M324)</f>
        <v>2096024421</v>
      </c>
      <c r="N326" s="424"/>
      <c r="O326" s="423">
        <v>-464921543</v>
      </c>
      <c r="P326" s="423">
        <f>SUM(P10:P324)</f>
        <v>0</v>
      </c>
      <c r="Q326" s="423">
        <f>+O326</f>
        <v>-464921543</v>
      </c>
    </row>
    <row r="327" spans="1:17" ht="13.5" customHeight="1" thickTop="1">
      <c r="A327" s="425" t="s">
        <v>599</v>
      </c>
      <c r="B327" s="426"/>
      <c r="C327" s="424"/>
      <c r="D327" s="424"/>
      <c r="E327" s="424"/>
      <c r="F327" s="424"/>
      <c r="G327" s="424"/>
      <c r="H327" s="424"/>
      <c r="I327" s="424"/>
      <c r="J327" s="424"/>
      <c r="K327" s="424"/>
      <c r="L327" s="424"/>
      <c r="M327" s="424"/>
      <c r="N327" s="424"/>
      <c r="O327" s="424"/>
      <c r="P327" s="424"/>
      <c r="Q327" s="424"/>
    </row>
    <row r="328" spans="1:17" ht="12" customHeight="1">
      <c r="A328" s="425" t="s">
        <v>600</v>
      </c>
      <c r="B328" s="427"/>
      <c r="C328" s="424"/>
      <c r="D328" s="424"/>
      <c r="E328" s="424"/>
      <c r="F328" s="424"/>
      <c r="G328" s="424"/>
      <c r="H328" s="424"/>
      <c r="I328" s="424"/>
      <c r="J328" s="424"/>
      <c r="K328" s="424"/>
      <c r="L328" s="424"/>
      <c r="M328" s="424"/>
      <c r="N328" s="424"/>
      <c r="O328" s="424"/>
      <c r="P328" s="424"/>
      <c r="Q328" s="424"/>
    </row>
    <row r="329" spans="1:17" ht="12" customHeight="1">
      <c r="A329" s="425" t="s">
        <v>601</v>
      </c>
    </row>
    <row r="330" spans="1:17" ht="12" customHeight="1">
      <c r="A330" s="425" t="s">
        <v>602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7" ht="12" customHeight="1">
      <c r="C331" s="87">
        <f t="shared" ref="C331:Q331" si="0">SUM(C10:C324)-C326</f>
        <v>0</v>
      </c>
      <c r="D331" s="87">
        <f t="shared" si="0"/>
        <v>0</v>
      </c>
      <c r="E331" s="87">
        <f t="shared" si="0"/>
        <v>0</v>
      </c>
      <c r="F331" s="280">
        <f t="shared" si="0"/>
        <v>0</v>
      </c>
      <c r="G331" s="87">
        <f t="shared" si="0"/>
        <v>0</v>
      </c>
      <c r="H331" s="87">
        <f t="shared" si="0"/>
        <v>0</v>
      </c>
      <c r="I331" s="87">
        <f t="shared" si="0"/>
        <v>0</v>
      </c>
      <c r="J331" s="87">
        <f t="shared" si="0"/>
        <v>0</v>
      </c>
      <c r="K331" s="87">
        <f t="shared" si="0"/>
        <v>0</v>
      </c>
      <c r="L331" s="87">
        <f t="shared" si="0"/>
        <v>0</v>
      </c>
      <c r="M331" s="87">
        <f t="shared" si="0"/>
        <v>0</v>
      </c>
      <c r="N331" s="87">
        <f t="shared" si="0"/>
        <v>0</v>
      </c>
      <c r="O331" s="87">
        <f t="shared" si="0"/>
        <v>0</v>
      </c>
      <c r="P331" s="87">
        <f t="shared" si="0"/>
        <v>0</v>
      </c>
      <c r="Q331" s="87">
        <f t="shared" si="0"/>
        <v>0</v>
      </c>
    </row>
    <row r="333" spans="1:17" ht="12" customHeight="1">
      <c r="O333" s="230"/>
    </row>
    <row r="334" spans="1:17" ht="12" customHeight="1">
      <c r="J334" s="190">
        <v>308192629</v>
      </c>
      <c r="M334" s="329"/>
      <c r="O334" s="87"/>
    </row>
    <row r="335" spans="1:17" ht="12" customHeight="1">
      <c r="J335" s="329">
        <f>+J326-J334</f>
        <v>124588</v>
      </c>
      <c r="M335" s="179"/>
      <c r="O335" s="230"/>
    </row>
    <row r="336" spans="1:17" ht="12" customHeight="1">
      <c r="M336" s="180"/>
    </row>
    <row r="337" spans="15:15" ht="12" customHeight="1">
      <c r="O337" s="87"/>
    </row>
  </sheetData>
  <mergeCells count="6">
    <mergeCell ref="A1:Q1"/>
    <mergeCell ref="A2:Q2"/>
    <mergeCell ref="A3:Q3"/>
    <mergeCell ref="D6:H6"/>
    <mergeCell ref="J6:M6"/>
    <mergeCell ref="O6:Q6"/>
  </mergeCells>
  <printOptions horizontalCentered="1"/>
  <pageMargins left="0.7" right="0.7" top="0.5" bottom="0.5" header="0.5" footer="0.5"/>
  <pageSetup scale="50" firstPageNumber="9" fitToHeight="0" orientation="landscape" useFirstPageNumber="1" r:id="rId1"/>
  <headerFooter scaleWithDoc="0">
    <oddFooter>&amp;C&amp;"Arial,Regular"&amp;10&amp;P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2" max="16" man="1"/>
    <brk id="250" max="16" man="1"/>
    <brk id="298" max="16" man="1"/>
  </rowBreaks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346"/>
  <sheetViews>
    <sheetView view="pageBreakPreview" topLeftCell="A227" zoomScaleNormal="90" zoomScaleSheetLayoutView="100" workbookViewId="0">
      <selection activeCell="D567" sqref="D567"/>
    </sheetView>
  </sheetViews>
  <sheetFormatPr defaultRowHeight="15"/>
  <cols>
    <col min="1" max="1" width="12.5703125" customWidth="1"/>
    <col min="2" max="2" width="68" customWidth="1"/>
    <col min="3" max="4" width="15" customWidth="1"/>
    <col min="5" max="5" width="15.42578125" customWidth="1"/>
    <col min="6" max="6" width="15.5703125" customWidth="1"/>
    <col min="7" max="7" width="15" customWidth="1"/>
    <col min="8" max="8" width="3.42578125" customWidth="1"/>
    <col min="9" max="9" width="12" customWidth="1"/>
    <col min="10" max="10" width="16" bestFit="1" customWidth="1"/>
    <col min="11" max="15" width="16.42578125" customWidth="1"/>
    <col min="17" max="21" width="14.42578125" customWidth="1"/>
    <col min="23" max="23" width="14.42578125" customWidth="1"/>
    <col min="24" max="24" width="13.5703125" bestFit="1" customWidth="1"/>
  </cols>
  <sheetData>
    <row r="1" spans="1:24" ht="18">
      <c r="A1" s="429" t="s">
        <v>381</v>
      </c>
      <c r="B1" s="429"/>
      <c r="C1" s="429"/>
      <c r="D1" s="429"/>
      <c r="E1" s="429"/>
      <c r="F1" s="429"/>
      <c r="G1" s="429"/>
    </row>
    <row r="2" spans="1:24" ht="15.75">
      <c r="A2" s="430" t="s">
        <v>384</v>
      </c>
      <c r="B2" s="430"/>
      <c r="C2" s="430"/>
      <c r="D2" s="430"/>
      <c r="E2" s="430"/>
      <c r="F2" s="430"/>
      <c r="G2" s="430"/>
    </row>
    <row r="3" spans="1:24" ht="15.75">
      <c r="A3" s="435" t="s">
        <v>504</v>
      </c>
      <c r="B3" s="430"/>
      <c r="C3" s="430"/>
      <c r="D3" s="430"/>
      <c r="E3" s="430"/>
      <c r="F3" s="430"/>
      <c r="G3" s="430"/>
    </row>
    <row r="6" spans="1:24" s="8" customFormat="1">
      <c r="A6" s="1"/>
      <c r="B6" s="1"/>
      <c r="C6" s="436" t="s">
        <v>300</v>
      </c>
      <c r="D6" s="436"/>
      <c r="E6" s="436"/>
      <c r="F6" s="436"/>
      <c r="G6" s="436"/>
      <c r="K6" s="436" t="s">
        <v>300</v>
      </c>
      <c r="L6" s="436"/>
      <c r="M6" s="436"/>
      <c r="N6" s="436"/>
      <c r="O6" s="436"/>
      <c r="Q6" s="434" t="s">
        <v>300</v>
      </c>
      <c r="R6" s="434"/>
      <c r="S6" s="434"/>
      <c r="T6" s="434"/>
      <c r="U6" s="434"/>
    </row>
    <row r="7" spans="1:24" s="8" customFormat="1" ht="34.35" customHeight="1">
      <c r="A7" s="43" t="s">
        <v>0</v>
      </c>
      <c r="B7" s="44" t="s">
        <v>1</v>
      </c>
      <c r="C7" s="218" t="s">
        <v>414</v>
      </c>
      <c r="D7" s="218" t="s">
        <v>428</v>
      </c>
      <c r="E7" s="218" t="s">
        <v>451</v>
      </c>
      <c r="F7" s="218" t="s">
        <v>464</v>
      </c>
      <c r="G7" s="42" t="s">
        <v>505</v>
      </c>
      <c r="J7" s="151" t="s">
        <v>376</v>
      </c>
      <c r="K7" s="218" t="s">
        <v>414</v>
      </c>
      <c r="L7" s="218" t="s">
        <v>428</v>
      </c>
      <c r="M7" s="218" t="s">
        <v>451</v>
      </c>
      <c r="N7" s="218" t="s">
        <v>464</v>
      </c>
      <c r="O7" s="218" t="s">
        <v>505</v>
      </c>
      <c r="P7" s="151" t="s">
        <v>376</v>
      </c>
      <c r="Q7" s="218" t="s">
        <v>414</v>
      </c>
      <c r="R7" s="218" t="s">
        <v>428</v>
      </c>
      <c r="S7" s="218" t="s">
        <v>451</v>
      </c>
      <c r="T7" s="218" t="s">
        <v>464</v>
      </c>
      <c r="U7" s="218" t="s">
        <v>505</v>
      </c>
    </row>
    <row r="8" spans="1:24" s="8" customFormat="1">
      <c r="A8" s="2"/>
      <c r="B8" s="2"/>
      <c r="C8" s="217" t="s">
        <v>301</v>
      </c>
      <c r="D8" s="217" t="s">
        <v>327</v>
      </c>
      <c r="E8" s="217" t="s">
        <v>328</v>
      </c>
      <c r="F8" s="217" t="s">
        <v>329</v>
      </c>
      <c r="G8" s="217" t="s">
        <v>330</v>
      </c>
      <c r="K8" s="433" t="s">
        <v>378</v>
      </c>
      <c r="L8" s="433"/>
      <c r="M8" s="433"/>
      <c r="N8" s="433"/>
      <c r="O8" s="433"/>
      <c r="Q8" s="433" t="s">
        <v>363</v>
      </c>
      <c r="R8" s="433"/>
      <c r="S8" s="433"/>
      <c r="T8" s="433"/>
      <c r="U8" s="433"/>
      <c r="X8" s="8" t="s">
        <v>375</v>
      </c>
    </row>
    <row r="9" spans="1:24" s="8" customFormat="1">
      <c r="A9" s="86"/>
      <c r="B9" s="86"/>
      <c r="C9" s="41"/>
      <c r="D9" s="41"/>
      <c r="E9" s="41"/>
      <c r="F9" s="41"/>
      <c r="G9" s="41"/>
    </row>
    <row r="10" spans="1:24" s="8" customFormat="1">
      <c r="A10" s="26">
        <v>1341</v>
      </c>
      <c r="B10" s="27" t="s">
        <v>5</v>
      </c>
      <c r="C10" s="47">
        <f>+Q10</f>
        <v>-68954745</v>
      </c>
      <c r="D10" s="47">
        <f>+R10</f>
        <v>-92265477</v>
      </c>
      <c r="E10" s="47">
        <f>+S10</f>
        <v>-60888149</v>
      </c>
      <c r="F10" s="47">
        <f>+T10</f>
        <v>-14318278</v>
      </c>
      <c r="G10" s="47">
        <f>+U10</f>
        <v>8107552</v>
      </c>
      <c r="I10" s="49"/>
      <c r="K10" s="142">
        <f>ROUND(VLOOKUP($A10,'Contribution Allocation_Report'!$A$9:$D$314,4,FALSE)*$K$326,0)+1</f>
        <v>-67271423</v>
      </c>
      <c r="L10" s="142">
        <f>ROUND(VLOOKUP($A10,'Contribution Allocation_Report'!$A$9:$D$314,4,FALSE)*$L$326,0)</f>
        <v>-92262539</v>
      </c>
      <c r="M10" s="142">
        <f>ROUND(VLOOKUP($A10,'Contribution Allocation_Report'!$A$9:$D$314,4,FALSE)*$M$326,0)</f>
        <v>-60324189</v>
      </c>
      <c r="N10" s="142">
        <f>ROUND(VLOOKUP($A10,'Contribution Allocation_Report'!$A$9:$D$314,4,FALSE)*$N$326,0)</f>
        <v>-15430075</v>
      </c>
      <c r="O10" s="142">
        <f>ROUND(VLOOKUP($A10,'Contribution Allocation_Report'!$A$9:$D$314,4,FALSE)*$O$326,0)</f>
        <v>6642180</v>
      </c>
      <c r="Q10" s="220">
        <f>+VLOOKUP(A10,'Change in Proportion Layers'!$AL$8:$AQ$322,2,FALSE)+K10</f>
        <v>-68954745</v>
      </c>
      <c r="R10" s="220">
        <f>+VLOOKUP(A10,'Change in Proportion Layers'!$AL$8:$AQ$322,3,FALSE)+L10</f>
        <v>-92265477</v>
      </c>
      <c r="S10" s="220">
        <f>+VLOOKUP(A10,'Change in Proportion Layers'!$AL$8:$AQ$322,4,FALSE)+M10</f>
        <v>-60888149</v>
      </c>
      <c r="T10" s="220">
        <f>+VLOOKUP(A10,'Change in Proportion Layers'!$AL$8:$AQ$322,5,FALSE)+N10</f>
        <v>-14318278</v>
      </c>
      <c r="U10" s="220">
        <f>+VLOOKUP(A10,'Change in Proportion Layers'!$AL$8:$AQ$322,6,FALSE)+O10+11</f>
        <v>8107552</v>
      </c>
      <c r="W10" s="220">
        <f>('OPEB Amounts_Report'!H10-'OPEB Amounts_Report'!M10)</f>
        <v>-228319097</v>
      </c>
      <c r="X10" s="245">
        <f>SUM(Q10:U10)-W10</f>
        <v>0</v>
      </c>
    </row>
    <row r="11" spans="1:24" s="8" customFormat="1">
      <c r="A11" s="28">
        <v>2308</v>
      </c>
      <c r="B11" s="29" t="s">
        <v>6</v>
      </c>
      <c r="C11" s="46">
        <f t="shared" ref="C11:C76" si="0">+Q11</f>
        <v>-13231</v>
      </c>
      <c r="D11" s="46">
        <f t="shared" ref="D11:D76" si="1">+R11</f>
        <v>-56556</v>
      </c>
      <c r="E11" s="46">
        <f t="shared" ref="E11:E76" si="2">+S11</f>
        <v>-61098</v>
      </c>
      <c r="F11" s="46">
        <f t="shared" ref="F11:F76" si="3">+T11</f>
        <v>-25996</v>
      </c>
      <c r="G11" s="46">
        <f t="shared" ref="G11:G76" si="4">+U11</f>
        <v>15314</v>
      </c>
      <c r="I11" s="49"/>
      <c r="K11" s="220">
        <f>ROUND(VLOOKUP($A11,'Contribution Allocation_Report'!$A$9:$D$314,4,FALSE)*$K$326,0)</f>
        <v>-127873</v>
      </c>
      <c r="L11" s="220">
        <f>ROUND(VLOOKUP($A11,'Contribution Allocation_Report'!$A$9:$D$314,4,FALSE)*$L$326,0)</f>
        <v>-175378</v>
      </c>
      <c r="M11" s="220">
        <f>ROUND(VLOOKUP($A11,'Contribution Allocation_Report'!$A$9:$D$314,4,FALSE)*$M$326,0)-1</f>
        <v>-114669</v>
      </c>
      <c r="N11" s="220">
        <f>ROUND(VLOOKUP($A11,'Contribution Allocation_Report'!$A$9:$D$314,4,FALSE)*$N$326,0)</f>
        <v>-29330</v>
      </c>
      <c r="O11" s="220">
        <f>ROUND(VLOOKUP($A11,'Contribution Allocation_Report'!$A$9:$D$314,4,FALSE)*$O$326,0)</f>
        <v>12626</v>
      </c>
      <c r="Q11" s="220">
        <f>+VLOOKUP(A11,'Change in Proportion Layers'!$AL$8:$AQ$322,2,FALSE)+K11</f>
        <v>-13231</v>
      </c>
      <c r="R11" s="220">
        <f>+VLOOKUP(A11,'Change in Proportion Layers'!$AL$8:$AQ$322,3,FALSE)+L11</f>
        <v>-56556</v>
      </c>
      <c r="S11" s="220">
        <f>+VLOOKUP(A11,'Change in Proportion Layers'!$AL$8:$AQ$322,4,FALSE)+M11</f>
        <v>-61098</v>
      </c>
      <c r="T11" s="220">
        <f>+VLOOKUP(A11,'Change in Proportion Layers'!$AL$8:$AQ$322,5,FALSE)+N11</f>
        <v>-25996</v>
      </c>
      <c r="U11" s="220">
        <f>+VLOOKUP(A11,'Change in Proportion Layers'!$AL$8:$AQ$322,6,FALSE)+O11</f>
        <v>15314</v>
      </c>
      <c r="W11" s="220">
        <f>('OPEB Amounts_Report'!H11-'OPEB Amounts_Report'!M11)</f>
        <v>-141567</v>
      </c>
      <c r="X11" s="245">
        <f t="shared" ref="X11:X74" si="5">SUM(Q11:U11)-W11</f>
        <v>0</v>
      </c>
    </row>
    <row r="12" spans="1:24" s="8" customFormat="1">
      <c r="A12" s="26">
        <v>2340</v>
      </c>
      <c r="B12" s="27" t="s">
        <v>7</v>
      </c>
      <c r="C12" s="45">
        <f t="shared" si="0"/>
        <v>-102536</v>
      </c>
      <c r="D12" s="45">
        <f t="shared" si="1"/>
        <v>-138231</v>
      </c>
      <c r="E12" s="45">
        <f t="shared" si="2"/>
        <v>-87516</v>
      </c>
      <c r="F12" s="45">
        <f t="shared" si="3"/>
        <v>-4206</v>
      </c>
      <c r="G12" s="45">
        <f t="shared" si="4"/>
        <v>19827</v>
      </c>
      <c r="I12" s="49"/>
      <c r="K12" s="220">
        <f>ROUND(VLOOKUP($A12,'Contribution Allocation_Report'!$A$9:$D$314,4,FALSE)*$K$326,0)</f>
        <v>-123924</v>
      </c>
      <c r="L12" s="220">
        <f>ROUND(VLOOKUP($A12,'Contribution Allocation_Report'!$A$9:$D$314,4,FALSE)*$L$326,0)</f>
        <v>-169962</v>
      </c>
      <c r="M12" s="220">
        <f>ROUND(VLOOKUP($A12,'Contribution Allocation_Report'!$A$9:$D$314,4,FALSE)*$M$326,0)</f>
        <v>-111126</v>
      </c>
      <c r="N12" s="220">
        <f>ROUND(VLOOKUP($A12,'Contribution Allocation_Report'!$A$9:$D$314,4,FALSE)*$N$326,0)</f>
        <v>-28425</v>
      </c>
      <c r="O12" s="220">
        <f>ROUND(VLOOKUP($A12,'Contribution Allocation_Report'!$A$9:$D$314,4,FALSE)*$O$326,0)</f>
        <v>12236</v>
      </c>
      <c r="Q12" s="220">
        <f>+VLOOKUP(A12,'Change in Proportion Layers'!$AL$8:$AQ$322,2,FALSE)+K12</f>
        <v>-102536</v>
      </c>
      <c r="R12" s="220">
        <f>+VLOOKUP(A12,'Change in Proportion Layers'!$AL$8:$AQ$322,3,FALSE)+L12</f>
        <v>-138231</v>
      </c>
      <c r="S12" s="220">
        <f>+VLOOKUP(A12,'Change in Proportion Layers'!$AL$8:$AQ$322,4,FALSE)+M12</f>
        <v>-87516</v>
      </c>
      <c r="T12" s="220">
        <f>+VLOOKUP(A12,'Change in Proportion Layers'!$AL$8:$AQ$322,5,FALSE)+N12</f>
        <v>-4206</v>
      </c>
      <c r="U12" s="220">
        <f>+VLOOKUP(A12,'Change in Proportion Layers'!$AL$8:$AQ$322,6,FALSE)+O12</f>
        <v>19827</v>
      </c>
      <c r="W12" s="220">
        <f>('OPEB Amounts_Report'!H12-'OPEB Amounts_Report'!M12)</f>
        <v>-312662</v>
      </c>
      <c r="X12" s="245">
        <f t="shared" si="5"/>
        <v>0</v>
      </c>
    </row>
    <row r="13" spans="1:24" s="8" customFormat="1">
      <c r="A13" s="28">
        <v>1301</v>
      </c>
      <c r="B13" s="29" t="s">
        <v>8</v>
      </c>
      <c r="C13" s="46">
        <f t="shared" si="0"/>
        <v>-75388</v>
      </c>
      <c r="D13" s="46">
        <f t="shared" si="1"/>
        <v>-140028</v>
      </c>
      <c r="E13" s="46">
        <f t="shared" si="2"/>
        <v>-106263</v>
      </c>
      <c r="F13" s="46">
        <f t="shared" si="3"/>
        <v>-8253</v>
      </c>
      <c r="G13" s="46">
        <f t="shared" si="4"/>
        <v>14539</v>
      </c>
      <c r="I13" s="49"/>
      <c r="K13" s="220">
        <f>ROUND(VLOOKUP($A13,'Contribution Allocation_Report'!$A$9:$D$314,4,FALSE)*$K$326,0)</f>
        <v>-143086</v>
      </c>
      <c r="L13" s="220">
        <f>ROUND(VLOOKUP($A13,'Contribution Allocation_Report'!$A$9:$D$314,4,FALSE)*$L$326,0)</f>
        <v>-196242</v>
      </c>
      <c r="M13" s="220">
        <f>ROUND(VLOOKUP($A13,'Contribution Allocation_Report'!$A$9:$D$314,4,FALSE)*$M$326,0)</f>
        <v>-128310</v>
      </c>
      <c r="N13" s="220">
        <f>ROUND(VLOOKUP($A13,'Contribution Allocation_Report'!$A$9:$D$314,4,FALSE)*$N$326,0)</f>
        <v>-32820</v>
      </c>
      <c r="O13" s="220">
        <f>ROUND(VLOOKUP($A13,'Contribution Allocation_Report'!$A$9:$D$314,4,FALSE)*$O$326,0)</f>
        <v>14128</v>
      </c>
      <c r="Q13" s="220">
        <f>+VLOOKUP(A13,'Change in Proportion Layers'!$AL$8:$AQ$322,2,FALSE)+K13</f>
        <v>-75388</v>
      </c>
      <c r="R13" s="220">
        <f>+VLOOKUP(A13,'Change in Proportion Layers'!$AL$8:$AQ$322,3,FALSE)+L13</f>
        <v>-140028</v>
      </c>
      <c r="S13" s="220">
        <f>+VLOOKUP(A13,'Change in Proportion Layers'!$AL$8:$AQ$322,4,FALSE)+M13</f>
        <v>-106263</v>
      </c>
      <c r="T13" s="220">
        <f>+VLOOKUP(A13,'Change in Proportion Layers'!$AL$8:$AQ$322,5,FALSE)+N13</f>
        <v>-8253</v>
      </c>
      <c r="U13" s="220">
        <f>+VLOOKUP(A13,'Change in Proportion Layers'!$AL$8:$AQ$322,6,FALSE)+O13</f>
        <v>14539</v>
      </c>
      <c r="W13" s="220">
        <f>('OPEB Amounts_Report'!H13-'OPEB Amounts_Report'!M13)</f>
        <v>-315393</v>
      </c>
      <c r="X13" s="245">
        <f t="shared" si="5"/>
        <v>0</v>
      </c>
    </row>
    <row r="14" spans="1:24" s="8" customFormat="1">
      <c r="A14" s="26">
        <v>2390</v>
      </c>
      <c r="B14" s="27" t="s">
        <v>9</v>
      </c>
      <c r="C14" s="45">
        <f t="shared" si="0"/>
        <v>-67048</v>
      </c>
      <c r="D14" s="45">
        <f t="shared" si="1"/>
        <v>-84098</v>
      </c>
      <c r="E14" s="45">
        <f t="shared" si="2"/>
        <v>-47909</v>
      </c>
      <c r="F14" s="45">
        <f t="shared" si="3"/>
        <v>20425</v>
      </c>
      <c r="G14" s="45">
        <f t="shared" si="4"/>
        <v>14266</v>
      </c>
      <c r="I14" s="49"/>
      <c r="K14" s="220">
        <f>ROUND(VLOOKUP($A14,'Contribution Allocation_Report'!$A$9:$D$314,4,FALSE)*$K$326,0)</f>
        <v>-114005</v>
      </c>
      <c r="L14" s="220">
        <f>ROUND(VLOOKUP($A14,'Contribution Allocation_Report'!$A$9:$D$314,4,FALSE)*$L$326,0)</f>
        <v>-156357</v>
      </c>
      <c r="M14" s="220">
        <f>ROUND(VLOOKUP($A14,'Contribution Allocation_Report'!$A$9:$D$314,4,FALSE)*$M$326,0)</f>
        <v>-102231</v>
      </c>
      <c r="N14" s="220">
        <f>ROUND(VLOOKUP($A14,'Contribution Allocation_Report'!$A$9:$D$314,4,FALSE)*$N$326,0)</f>
        <v>-26149</v>
      </c>
      <c r="O14" s="220">
        <f>ROUND(VLOOKUP($A14,'Contribution Allocation_Report'!$A$9:$D$314,4,FALSE)*$O$326,0)</f>
        <v>11256</v>
      </c>
      <c r="Q14" s="220">
        <f>+VLOOKUP(A14,'Change in Proportion Layers'!$AL$8:$AQ$322,2,FALSE)+K14</f>
        <v>-67048</v>
      </c>
      <c r="R14" s="220">
        <f>+VLOOKUP(A14,'Change in Proportion Layers'!$AL$8:$AQ$322,3,FALSE)+L14</f>
        <v>-84098</v>
      </c>
      <c r="S14" s="220">
        <f>+VLOOKUP(A14,'Change in Proportion Layers'!$AL$8:$AQ$322,4,FALSE)+M14</f>
        <v>-47909</v>
      </c>
      <c r="T14" s="220">
        <f>+VLOOKUP(A14,'Change in Proportion Layers'!$AL$8:$AQ$322,5,FALSE)+N14</f>
        <v>20425</v>
      </c>
      <c r="U14" s="220">
        <f>+VLOOKUP(A14,'Change in Proportion Layers'!$AL$8:$AQ$322,6,FALSE)+O14</f>
        <v>14266</v>
      </c>
      <c r="W14" s="220">
        <f>('OPEB Amounts_Report'!H14-'OPEB Amounts_Report'!M14)</f>
        <v>-164364</v>
      </c>
      <c r="X14" s="245">
        <f t="shared" si="5"/>
        <v>0</v>
      </c>
    </row>
    <row r="15" spans="1:24" s="192" customFormat="1">
      <c r="A15" s="211">
        <v>2441</v>
      </c>
      <c r="B15" s="212" t="s">
        <v>419</v>
      </c>
      <c r="C15" s="46">
        <f t="shared" ref="C15" si="6">+Q15</f>
        <v>87196</v>
      </c>
      <c r="D15" s="46">
        <f t="shared" ref="D15" si="7">+R15</f>
        <v>66365</v>
      </c>
      <c r="E15" s="46">
        <f t="shared" ref="E15" si="8">+S15</f>
        <v>26213</v>
      </c>
      <c r="F15" s="46">
        <f t="shared" ref="F15" si="9">+T15</f>
        <v>43029</v>
      </c>
      <c r="G15" s="46">
        <f t="shared" ref="G15" si="10">+U15</f>
        <v>-12482</v>
      </c>
      <c r="I15" s="221"/>
      <c r="K15" s="220">
        <f>ROUND(VLOOKUP($A15,'Contribution Allocation_Report'!$A$9:$D$314,4,FALSE)*$K$326,0)</f>
        <v>-52552</v>
      </c>
      <c r="L15" s="220">
        <f>ROUND(VLOOKUP($A15,'Contribution Allocation_Report'!$A$9:$D$314,4,FALSE)*$L$326,0)</f>
        <v>-72075</v>
      </c>
      <c r="M15" s="220">
        <f>ROUND(VLOOKUP($A15,'Contribution Allocation_Report'!$A$9:$D$314,4,FALSE)*$M$326,0)</f>
        <v>-47125</v>
      </c>
      <c r="N15" s="220">
        <f>ROUND(VLOOKUP($A15,'Contribution Allocation_Report'!$A$9:$D$314,4,FALSE)*$N$326,0)</f>
        <v>-12054</v>
      </c>
      <c r="O15" s="220">
        <f>ROUND(VLOOKUP($A15,'Contribution Allocation_Report'!$A$9:$D$314,4,FALSE)*$O$326,0)</f>
        <v>5189</v>
      </c>
      <c r="Q15" s="220">
        <f>+VLOOKUP(A15,'Change in Proportion Layers'!$AL$8:$AQ$322,2,FALSE)+K15</f>
        <v>87196</v>
      </c>
      <c r="R15" s="220">
        <f>+VLOOKUP(A15,'Change in Proportion Layers'!$AL$8:$AQ$322,3,FALSE)+L15</f>
        <v>66365</v>
      </c>
      <c r="S15" s="220">
        <f>+VLOOKUP(A15,'Change in Proportion Layers'!$AL$8:$AQ$322,4,FALSE)+M15</f>
        <v>26213</v>
      </c>
      <c r="T15" s="220">
        <f>+VLOOKUP(A15,'Change in Proportion Layers'!$AL$8:$AQ$322,5,FALSE)+N15</f>
        <v>43029</v>
      </c>
      <c r="U15" s="220">
        <f>+VLOOKUP(A15,'Change in Proportion Layers'!$AL$8:$AQ$322,6,FALSE)+O15-1</f>
        <v>-12482</v>
      </c>
      <c r="W15" s="220">
        <f>('OPEB Amounts_Report'!H15-'OPEB Amounts_Report'!M15)</f>
        <v>210321</v>
      </c>
      <c r="X15" s="245">
        <f t="shared" si="5"/>
        <v>0</v>
      </c>
    </row>
    <row r="16" spans="1:24" s="8" customFormat="1">
      <c r="A16" s="209">
        <v>15046</v>
      </c>
      <c r="B16" s="210" t="s">
        <v>10</v>
      </c>
      <c r="C16" s="219">
        <f t="shared" si="0"/>
        <v>-1513796</v>
      </c>
      <c r="D16" s="219">
        <f t="shared" si="1"/>
        <v>-2666147</v>
      </c>
      <c r="E16" s="219">
        <f t="shared" si="2"/>
        <v>-1600108</v>
      </c>
      <c r="F16" s="219">
        <f t="shared" si="3"/>
        <v>-24637</v>
      </c>
      <c r="G16" s="219">
        <f t="shared" si="4"/>
        <v>413092</v>
      </c>
      <c r="I16" s="49"/>
      <c r="K16" s="220">
        <f>ROUND(VLOOKUP($A16,'Contribution Allocation_Report'!$A$9:$D$314,4,FALSE)*$K$326,0)</f>
        <v>-2108328</v>
      </c>
      <c r="L16" s="220">
        <f>ROUND(VLOOKUP($A16,'Contribution Allocation_Report'!$A$9:$D$314,4,FALSE)*$L$326,0)</f>
        <v>-2891565</v>
      </c>
      <c r="M16" s="220">
        <f>ROUND(VLOOKUP($A16,'Contribution Allocation_Report'!$A$9:$D$314,4,FALSE)*$M$326,0)</f>
        <v>-1890598</v>
      </c>
      <c r="N16" s="220">
        <f>ROUND(VLOOKUP($A16,'Contribution Allocation_Report'!$A$9:$D$314,4,FALSE)*$N$326,0)</f>
        <v>-483588</v>
      </c>
      <c r="O16" s="220">
        <f>ROUND(VLOOKUP($A16,'Contribution Allocation_Report'!$A$9:$D$314,4,FALSE)*$O$326,0)</f>
        <v>208170</v>
      </c>
      <c r="Q16" s="220">
        <f>+VLOOKUP(A16,'Change in Proportion Layers'!$AL$8:$AQ$322,2,FALSE)+K16</f>
        <v>-1513796</v>
      </c>
      <c r="R16" s="220">
        <f>+VLOOKUP(A16,'Change in Proportion Layers'!$AL$8:$AQ$322,3,FALSE)+L16</f>
        <v>-2666147</v>
      </c>
      <c r="S16" s="220">
        <f>+VLOOKUP(A16,'Change in Proportion Layers'!$AL$8:$AQ$322,4,FALSE)+M16</f>
        <v>-1600108</v>
      </c>
      <c r="T16" s="220">
        <f>+VLOOKUP(A16,'Change in Proportion Layers'!$AL$8:$AQ$322,5,FALSE)+N16</f>
        <v>-24637</v>
      </c>
      <c r="U16" s="220">
        <f>+VLOOKUP(A16,'Change in Proportion Layers'!$AL$8:$AQ$322,6,FALSE)+O16</f>
        <v>413092</v>
      </c>
      <c r="W16" s="220">
        <f>('OPEB Amounts_Report'!H16-'OPEB Amounts_Report'!M16)</f>
        <v>-5391596</v>
      </c>
      <c r="X16" s="245">
        <f t="shared" si="5"/>
        <v>0</v>
      </c>
    </row>
    <row r="17" spans="1:24" s="8" customFormat="1">
      <c r="A17" s="211">
        <v>4380</v>
      </c>
      <c r="B17" s="212" t="s">
        <v>11</v>
      </c>
      <c r="C17" s="46">
        <f t="shared" si="0"/>
        <v>-2690344</v>
      </c>
      <c r="D17" s="46">
        <f t="shared" si="1"/>
        <v>-2920806</v>
      </c>
      <c r="E17" s="46">
        <f t="shared" si="2"/>
        <v>-2138129</v>
      </c>
      <c r="F17" s="46">
        <f t="shared" si="3"/>
        <v>-837173</v>
      </c>
      <c r="G17" s="46">
        <f t="shared" si="4"/>
        <v>-325740</v>
      </c>
      <c r="I17" s="49"/>
      <c r="K17" s="220">
        <f>ROUND(VLOOKUP($A17,'Contribution Allocation_Report'!$A$9:$D$314,4,FALSE)*$K$326,0)</f>
        <v>-1727616</v>
      </c>
      <c r="L17" s="220">
        <f>ROUND(VLOOKUP($A17,'Contribution Allocation_Report'!$A$9:$D$314,4,FALSE)*$L$326,0)</f>
        <v>-2369419</v>
      </c>
      <c r="M17" s="220">
        <f>ROUND(VLOOKUP($A17,'Contribution Allocation_Report'!$A$9:$D$314,4,FALSE)*$M$326,0)</f>
        <v>-1549202</v>
      </c>
      <c r="N17" s="220">
        <f>ROUND(VLOOKUP($A17,'Contribution Allocation_Report'!$A$9:$D$314,4,FALSE)*$N$326,0)</f>
        <v>-396264</v>
      </c>
      <c r="O17" s="220">
        <f>ROUND(VLOOKUP($A17,'Contribution Allocation_Report'!$A$9:$D$314,4,FALSE)*$O$326,0)</f>
        <v>170580</v>
      </c>
      <c r="Q17" s="220">
        <f>+VLOOKUP(A17,'Change in Proportion Layers'!$AL$8:$AQ$322,2,FALSE)+K17</f>
        <v>-2690344</v>
      </c>
      <c r="R17" s="220">
        <f>+VLOOKUP(A17,'Change in Proportion Layers'!$AL$8:$AQ$322,3,FALSE)+L17</f>
        <v>-2920806</v>
      </c>
      <c r="S17" s="220">
        <f>+VLOOKUP(A17,'Change in Proportion Layers'!$AL$8:$AQ$322,4,FALSE)+M17</f>
        <v>-2138129</v>
      </c>
      <c r="T17" s="220">
        <f>+VLOOKUP(A17,'Change in Proportion Layers'!$AL$8:$AQ$322,5,FALSE)+N17</f>
        <v>-837173</v>
      </c>
      <c r="U17" s="220">
        <f>+VLOOKUP(A17,'Change in Proportion Layers'!$AL$8:$AQ$322,6,FALSE)+O17</f>
        <v>-325740</v>
      </c>
      <c r="W17" s="220">
        <f>('OPEB Amounts_Report'!H17-'OPEB Amounts_Report'!M17)</f>
        <v>-8912192</v>
      </c>
      <c r="X17" s="245">
        <f t="shared" si="5"/>
        <v>0</v>
      </c>
    </row>
    <row r="18" spans="1:24" s="192" customFormat="1">
      <c r="A18" s="209">
        <v>2343</v>
      </c>
      <c r="B18" s="210" t="s">
        <v>420</v>
      </c>
      <c r="C18" s="219">
        <f>+Q18</f>
        <v>-88690</v>
      </c>
      <c r="D18" s="219">
        <f>+R18</f>
        <v>-129245</v>
      </c>
      <c r="E18" s="219">
        <f>+S18</f>
        <v>-70610</v>
      </c>
      <c r="F18" s="219">
        <f>+T18</f>
        <v>51498</v>
      </c>
      <c r="G18" s="219">
        <f>+U18</f>
        <v>38773</v>
      </c>
      <c r="H18" s="8"/>
      <c r="I18" s="49"/>
      <c r="J18" s="8"/>
      <c r="K18" s="220">
        <f>ROUND(VLOOKUP($A18,'Contribution Allocation_Report'!$A$9:$D$314,4,FALSE)*$K$326,0)</f>
        <v>-166577</v>
      </c>
      <c r="L18" s="220">
        <f>ROUND(VLOOKUP($A18,'Contribution Allocation_Report'!$A$9:$D$314,4,FALSE)*$L$326,0)+1</f>
        <v>-228458</v>
      </c>
      <c r="M18" s="220">
        <f>ROUND(VLOOKUP($A18,'Contribution Allocation_Report'!$A$9:$D$314,4,FALSE)*$M$326,0)</f>
        <v>-149374</v>
      </c>
      <c r="N18" s="220">
        <f>ROUND(VLOOKUP($A18,'Contribution Allocation_Report'!$A$9:$D$314,4,FALSE)*$N$326,0)</f>
        <v>-38208</v>
      </c>
      <c r="O18" s="220">
        <f>ROUND(VLOOKUP($A18,'Contribution Allocation_Report'!$A$9:$D$314,4,FALSE)*$O$326,0)</f>
        <v>16447</v>
      </c>
      <c r="P18" s="8"/>
      <c r="Q18" s="220">
        <f>+VLOOKUP(A18,'Change in Proportion Layers'!$AL$8:$AQ$322,2,FALSE)+K18</f>
        <v>-88690</v>
      </c>
      <c r="R18" s="220">
        <f>+VLOOKUP(A18,'Change in Proportion Layers'!$AL$8:$AQ$322,3,FALSE)+L18</f>
        <v>-129245</v>
      </c>
      <c r="S18" s="220">
        <f>+VLOOKUP(A18,'Change in Proportion Layers'!$AL$8:$AQ$322,4,FALSE)+M18</f>
        <v>-70610</v>
      </c>
      <c r="T18" s="220">
        <f>+VLOOKUP(A18,'Change in Proportion Layers'!$AL$8:$AQ$322,5,FALSE)+N18</f>
        <v>51498</v>
      </c>
      <c r="U18" s="220">
        <f>+VLOOKUP(A18,'Change in Proportion Layers'!$AL$8:$AQ$322,6,FALSE)+O18</f>
        <v>38773</v>
      </c>
      <c r="V18" s="8"/>
      <c r="W18" s="220">
        <f>('OPEB Amounts_Report'!H18-'OPEB Amounts_Report'!M18)</f>
        <v>-198274</v>
      </c>
      <c r="X18" s="245">
        <f t="shared" si="5"/>
        <v>0</v>
      </c>
    </row>
    <row r="19" spans="1:24" s="8" customFormat="1">
      <c r="A19" s="211">
        <v>2435</v>
      </c>
      <c r="B19" s="212" t="s">
        <v>396</v>
      </c>
      <c r="C19" s="46">
        <f t="shared" si="0"/>
        <v>58822</v>
      </c>
      <c r="D19" s="46">
        <f t="shared" si="1"/>
        <v>11048</v>
      </c>
      <c r="E19" s="46">
        <f t="shared" si="2"/>
        <v>2135</v>
      </c>
      <c r="F19" s="46">
        <f t="shared" si="3"/>
        <v>12395</v>
      </c>
      <c r="G19" s="46">
        <f t="shared" si="4"/>
        <v>8239</v>
      </c>
      <c r="I19" s="49"/>
      <c r="K19" s="220">
        <f>ROUND(VLOOKUP($A19,'Contribution Allocation_Report'!$A$9:$D$314,4,FALSE)*$K$326,0)</f>
        <v>-66107</v>
      </c>
      <c r="L19" s="220">
        <f>ROUND(VLOOKUP($A19,'Contribution Allocation_Report'!$A$9:$D$314,4,FALSE)*$L$326,0)</f>
        <v>-90666</v>
      </c>
      <c r="M19" s="220">
        <f>ROUND(VLOOKUP($A19,'Contribution Allocation_Report'!$A$9:$D$314,4,FALSE)*$M$326,0)</f>
        <v>-59280</v>
      </c>
      <c r="N19" s="220">
        <f>ROUND(VLOOKUP($A19,'Contribution Allocation_Report'!$A$9:$D$314,4,FALSE)*$N$326,0)</f>
        <v>-15163</v>
      </c>
      <c r="O19" s="220">
        <f>ROUND(VLOOKUP($A19,'Contribution Allocation_Report'!$A$9:$D$314,4,FALSE)*$O$326,0)</f>
        <v>6527</v>
      </c>
      <c r="Q19" s="220">
        <f>+VLOOKUP(A19,'Change in Proportion Layers'!$AL$8:$AQ$322,2,FALSE)+K19</f>
        <v>58822</v>
      </c>
      <c r="R19" s="220">
        <f>+VLOOKUP(A19,'Change in Proportion Layers'!$AL$8:$AQ$322,3,FALSE)+L19</f>
        <v>11048</v>
      </c>
      <c r="S19" s="220">
        <f>+VLOOKUP(A19,'Change in Proportion Layers'!$AL$8:$AQ$322,4,FALSE)+M19</f>
        <v>2135</v>
      </c>
      <c r="T19" s="220">
        <f>+VLOOKUP(A19,'Change in Proportion Layers'!$AL$8:$AQ$322,5,FALSE)+N19</f>
        <v>12395</v>
      </c>
      <c r="U19" s="220">
        <f>+VLOOKUP(A19,'Change in Proportion Layers'!$AL$8:$AQ$322,6,FALSE)+O19-1</f>
        <v>8239</v>
      </c>
      <c r="W19" s="220">
        <f>('OPEB Amounts_Report'!H19-'OPEB Amounts_Report'!M19)</f>
        <v>92639</v>
      </c>
      <c r="X19" s="245">
        <f t="shared" si="5"/>
        <v>0</v>
      </c>
    </row>
    <row r="20" spans="1:24" s="8" customFormat="1">
      <c r="A20" s="209">
        <v>4560</v>
      </c>
      <c r="B20" s="210" t="s">
        <v>12</v>
      </c>
      <c r="C20" s="219">
        <f t="shared" si="0"/>
        <v>-169002</v>
      </c>
      <c r="D20" s="219">
        <f t="shared" si="1"/>
        <v>-215456</v>
      </c>
      <c r="E20" s="219">
        <f t="shared" si="2"/>
        <v>-173141</v>
      </c>
      <c r="F20" s="219">
        <f t="shared" si="3"/>
        <v>-29929</v>
      </c>
      <c r="G20" s="219">
        <f t="shared" si="4"/>
        <v>30942</v>
      </c>
      <c r="I20" s="49"/>
      <c r="K20" s="220">
        <f>ROUND(VLOOKUP($A20,'Contribution Allocation_Report'!$A$9:$D$314,4,FALSE)*$K$326,0)</f>
        <v>-168076</v>
      </c>
      <c r="L20" s="220">
        <f>ROUND(VLOOKUP($A20,'Contribution Allocation_Report'!$A$9:$D$314,4,FALSE)*$L$326,0)</f>
        <v>-230516</v>
      </c>
      <c r="M20" s="220">
        <f>ROUND(VLOOKUP($A20,'Contribution Allocation_Report'!$A$9:$D$314,4,FALSE)*$M$326,0)</f>
        <v>-150719</v>
      </c>
      <c r="N20" s="220">
        <f>ROUND(VLOOKUP($A20,'Contribution Allocation_Report'!$A$9:$D$314,4,FALSE)*$N$326,0)</f>
        <v>-38552</v>
      </c>
      <c r="O20" s="220">
        <f>ROUND(VLOOKUP($A20,'Contribution Allocation_Report'!$A$9:$D$314,4,FALSE)*$O$326,0)</f>
        <v>16595</v>
      </c>
      <c r="Q20" s="220">
        <f>+VLOOKUP(A20,'Change in Proportion Layers'!$AL$8:$AQ$322,2,FALSE)+K20</f>
        <v>-169002</v>
      </c>
      <c r="R20" s="220">
        <f>+VLOOKUP(A20,'Change in Proportion Layers'!$AL$8:$AQ$322,3,FALSE)+L20</f>
        <v>-215456</v>
      </c>
      <c r="S20" s="220">
        <f>+VLOOKUP(A20,'Change in Proportion Layers'!$AL$8:$AQ$322,4,FALSE)+M20</f>
        <v>-173141</v>
      </c>
      <c r="T20" s="220">
        <f>+VLOOKUP(A20,'Change in Proportion Layers'!$AL$8:$AQ$322,5,FALSE)+N20</f>
        <v>-29929</v>
      </c>
      <c r="U20" s="220">
        <f>+VLOOKUP(A20,'Change in Proportion Layers'!$AL$8:$AQ$322,6,FALSE)+O20</f>
        <v>30942</v>
      </c>
      <c r="W20" s="220">
        <f>('OPEB Amounts_Report'!H20-'OPEB Amounts_Report'!M20)</f>
        <v>-556586</v>
      </c>
      <c r="X20" s="245">
        <f t="shared" si="5"/>
        <v>0</v>
      </c>
    </row>
    <row r="21" spans="1:24" s="8" customFormat="1">
      <c r="A21" s="211">
        <v>2341</v>
      </c>
      <c r="B21" s="212" t="s">
        <v>417</v>
      </c>
      <c r="C21" s="46">
        <f t="shared" si="0"/>
        <v>-136767</v>
      </c>
      <c r="D21" s="46">
        <f t="shared" si="1"/>
        <v>-162016</v>
      </c>
      <c r="E21" s="46">
        <f t="shared" si="2"/>
        <v>-103037</v>
      </c>
      <c r="F21" s="46">
        <f t="shared" si="3"/>
        <v>-37317</v>
      </c>
      <c r="G21" s="46">
        <f t="shared" si="4"/>
        <v>2302</v>
      </c>
      <c r="I21" s="49"/>
      <c r="K21" s="220">
        <f>ROUND(VLOOKUP($A21,'Contribution Allocation_Report'!$A$9:$D$314,4,FALSE)*$K$326,0)</f>
        <v>-95209</v>
      </c>
      <c r="L21" s="220">
        <f>ROUND(VLOOKUP($A21,'Contribution Allocation_Report'!$A$9:$D$314,4,FALSE)*$L$326,0)</f>
        <v>-130579</v>
      </c>
      <c r="M21" s="220">
        <f>ROUND(VLOOKUP($A21,'Contribution Allocation_Report'!$A$9:$D$314,4,FALSE)*$M$326,0)</f>
        <v>-85377</v>
      </c>
      <c r="N21" s="220">
        <f>ROUND(VLOOKUP($A21,'Contribution Allocation_Report'!$A$9:$D$314,4,FALSE)*$N$326,0)</f>
        <v>-21838</v>
      </c>
      <c r="O21" s="220">
        <f>ROUND(VLOOKUP($A21,'Contribution Allocation_Report'!$A$9:$D$314,4,FALSE)*$O$326,0)</f>
        <v>9401</v>
      </c>
      <c r="Q21" s="220">
        <f>+VLOOKUP(A21,'Change in Proportion Layers'!$AL$8:$AQ$322,2,FALSE)+K21</f>
        <v>-136767</v>
      </c>
      <c r="R21" s="220">
        <f>+VLOOKUP(A21,'Change in Proportion Layers'!$AL$8:$AQ$322,3,FALSE)+L21</f>
        <v>-162016</v>
      </c>
      <c r="S21" s="220">
        <f>+VLOOKUP(A21,'Change in Proportion Layers'!$AL$8:$AQ$322,4,FALSE)+M21</f>
        <v>-103037</v>
      </c>
      <c r="T21" s="220">
        <f>+VLOOKUP(A21,'Change in Proportion Layers'!$AL$8:$AQ$322,5,FALSE)+N21</f>
        <v>-37317</v>
      </c>
      <c r="U21" s="220">
        <f>+VLOOKUP(A21,'Change in Proportion Layers'!$AL$8:$AQ$322,6,FALSE)+O21</f>
        <v>2302</v>
      </c>
      <c r="W21" s="220">
        <f>('OPEB Amounts_Report'!H21-'OPEB Amounts_Report'!M21)</f>
        <v>-436835</v>
      </c>
      <c r="X21" s="245">
        <f t="shared" si="5"/>
        <v>0</v>
      </c>
    </row>
    <row r="22" spans="1:24" s="8" customFormat="1">
      <c r="A22" s="209">
        <v>4580</v>
      </c>
      <c r="B22" s="210" t="s">
        <v>397</v>
      </c>
      <c r="C22" s="219">
        <f t="shared" si="0"/>
        <v>-92553</v>
      </c>
      <c r="D22" s="219">
        <f t="shared" si="1"/>
        <v>-111331</v>
      </c>
      <c r="E22" s="219">
        <f t="shared" si="2"/>
        <v>-62856</v>
      </c>
      <c r="F22" s="219">
        <f t="shared" si="3"/>
        <v>-8319</v>
      </c>
      <c r="G22" s="219">
        <f t="shared" si="4"/>
        <v>13372</v>
      </c>
      <c r="I22" s="49"/>
      <c r="K22" s="220">
        <f>ROUND(VLOOKUP($A22,'Contribution Allocation_Report'!$A$9:$D$314,4,FALSE)*$K$326,0)</f>
        <v>-97610</v>
      </c>
      <c r="L22" s="220">
        <f>ROUND(VLOOKUP($A22,'Contribution Allocation_Report'!$A$9:$D$314,4,FALSE)*$L$326,0)+1</f>
        <v>-133871</v>
      </c>
      <c r="M22" s="220">
        <f>ROUND(VLOOKUP($A22,'Contribution Allocation_Report'!$A$9:$D$314,4,FALSE)*$M$326,0)</f>
        <v>-87530</v>
      </c>
      <c r="N22" s="220">
        <f>ROUND(VLOOKUP($A22,'Contribution Allocation_Report'!$A$9:$D$314,4,FALSE)*$N$326,0)</f>
        <v>-22389</v>
      </c>
      <c r="O22" s="220">
        <f>ROUND(VLOOKUP($A22,'Contribution Allocation_Report'!$A$9:$D$314,4,FALSE)*$O$326,0)</f>
        <v>9638</v>
      </c>
      <c r="Q22" s="220">
        <f>+VLOOKUP(A22,'Change in Proportion Layers'!$AL$8:$AQ$322,2,FALSE)+K22</f>
        <v>-92553</v>
      </c>
      <c r="R22" s="220">
        <f>+VLOOKUP(A22,'Change in Proportion Layers'!$AL$8:$AQ$322,3,FALSE)+L22</f>
        <v>-111331</v>
      </c>
      <c r="S22" s="220">
        <f>+VLOOKUP(A22,'Change in Proportion Layers'!$AL$8:$AQ$322,4,FALSE)+M22</f>
        <v>-62856</v>
      </c>
      <c r="T22" s="220">
        <f>+VLOOKUP(A22,'Change in Proportion Layers'!$AL$8:$AQ$322,5,FALSE)+N22</f>
        <v>-8319</v>
      </c>
      <c r="U22" s="220">
        <f>+VLOOKUP(A22,'Change in Proportion Layers'!$AL$8:$AQ$322,6,FALSE)+O22</f>
        <v>13372</v>
      </c>
      <c r="W22" s="220">
        <f>('OPEB Amounts_Report'!H22-'OPEB Amounts_Report'!M22)</f>
        <v>-261687</v>
      </c>
      <c r="X22" s="245">
        <f t="shared" si="5"/>
        <v>0</v>
      </c>
    </row>
    <row r="23" spans="1:24" s="8" customFormat="1">
      <c r="A23" s="211">
        <v>2003</v>
      </c>
      <c r="B23" s="212" t="s">
        <v>13</v>
      </c>
      <c r="C23" s="46">
        <f t="shared" si="0"/>
        <v>-31191195</v>
      </c>
      <c r="D23" s="46">
        <f t="shared" si="1"/>
        <v>-45650908</v>
      </c>
      <c r="E23" s="46">
        <f t="shared" si="2"/>
        <v>-29184971</v>
      </c>
      <c r="F23" s="46">
        <f t="shared" si="3"/>
        <v>-9201975</v>
      </c>
      <c r="G23" s="46">
        <f t="shared" si="4"/>
        <v>2300677</v>
      </c>
      <c r="I23" s="49"/>
      <c r="K23" s="220">
        <f>ROUND(VLOOKUP($A23,'Contribution Allocation_Report'!$A$9:$D$314,4,FALSE)*$K$326,0)</f>
        <v>-30888735</v>
      </c>
      <c r="L23" s="220">
        <f>ROUND(VLOOKUP($A23,'Contribution Allocation_Report'!$A$9:$D$314,4,FALSE)*$L$326,0)</f>
        <v>-42363799</v>
      </c>
      <c r="M23" s="220">
        <f>ROUND(VLOOKUP($A23,'Contribution Allocation_Report'!$A$9:$D$314,4,FALSE)*$M$326,0)</f>
        <v>-27698802</v>
      </c>
      <c r="N23" s="220">
        <f>ROUND(VLOOKUP($A23,'Contribution Allocation_Report'!$A$9:$D$314,4,FALSE)*$N$326,0)</f>
        <v>-7084962</v>
      </c>
      <c r="O23" s="220">
        <f>ROUND(VLOOKUP($A23,'Contribution Allocation_Report'!$A$9:$D$314,4,FALSE)*$O$326,0)</f>
        <v>3049862</v>
      </c>
      <c r="Q23" s="220">
        <f>+VLOOKUP(A23,'Change in Proportion Layers'!$AL$8:$AQ$322,2,FALSE)+K23</f>
        <v>-31191195</v>
      </c>
      <c r="R23" s="220">
        <f>+VLOOKUP(A23,'Change in Proportion Layers'!$AL$8:$AQ$322,3,FALSE)+L23</f>
        <v>-45650908</v>
      </c>
      <c r="S23" s="220">
        <f>+VLOOKUP(A23,'Change in Proportion Layers'!$AL$8:$AQ$322,4,FALSE)+M23</f>
        <v>-29184971</v>
      </c>
      <c r="T23" s="220">
        <f>+VLOOKUP(A23,'Change in Proportion Layers'!$AL$8:$AQ$322,5,FALSE)+N23</f>
        <v>-9201975</v>
      </c>
      <c r="U23" s="220">
        <f>+VLOOKUP(A23,'Change in Proportion Layers'!$AL$8:$AQ$322,6,FALSE)+O23-1</f>
        <v>2300677</v>
      </c>
      <c r="W23" s="220">
        <f>('OPEB Amounts_Report'!H23-'OPEB Amounts_Report'!M23)</f>
        <v>-112928372</v>
      </c>
      <c r="X23" s="245">
        <f t="shared" si="5"/>
        <v>0</v>
      </c>
    </row>
    <row r="24" spans="1:24" s="8" customFormat="1">
      <c r="A24" s="209">
        <v>2412</v>
      </c>
      <c r="B24" s="210" t="s">
        <v>14</v>
      </c>
      <c r="C24" s="219">
        <f t="shared" si="0"/>
        <v>125368</v>
      </c>
      <c r="D24" s="219">
        <f t="shared" si="1"/>
        <v>-71884</v>
      </c>
      <c r="E24" s="219">
        <f t="shared" si="2"/>
        <v>-157680</v>
      </c>
      <c r="F24" s="219">
        <f t="shared" si="3"/>
        <v>-56262</v>
      </c>
      <c r="G24" s="219">
        <f t="shared" si="4"/>
        <v>53291</v>
      </c>
      <c r="I24" s="49"/>
      <c r="K24" s="220">
        <f>ROUND(VLOOKUP($A24,'Contribution Allocation_Report'!$A$9:$D$314,4,FALSE)*$K$326,0)</f>
        <v>-298278</v>
      </c>
      <c r="L24" s="220">
        <f>ROUND(VLOOKUP($A24,'Contribution Allocation_Report'!$A$9:$D$314,4,FALSE)*$L$326,0)</f>
        <v>-409088</v>
      </c>
      <c r="M24" s="220">
        <f>ROUND(VLOOKUP($A24,'Contribution Allocation_Report'!$A$9:$D$314,4,FALSE)*$M$326,0)</f>
        <v>-267475</v>
      </c>
      <c r="N24" s="220">
        <f>ROUND(VLOOKUP($A24,'Contribution Allocation_Report'!$A$9:$D$314,4,FALSE)*$N$326,0)</f>
        <v>-68416</v>
      </c>
      <c r="O24" s="220">
        <f>ROUND(VLOOKUP($A24,'Contribution Allocation_Report'!$A$9:$D$314,4,FALSE)*$O$326,0)</f>
        <v>29451</v>
      </c>
      <c r="Q24" s="220">
        <f>+VLOOKUP(A24,'Change in Proportion Layers'!$AL$8:$AQ$322,2,FALSE)+K24</f>
        <v>125368</v>
      </c>
      <c r="R24" s="220">
        <f>+VLOOKUP(A24,'Change in Proportion Layers'!$AL$8:$AQ$322,3,FALSE)+L24</f>
        <v>-71884</v>
      </c>
      <c r="S24" s="220">
        <f>+VLOOKUP(A24,'Change in Proportion Layers'!$AL$8:$AQ$322,4,FALSE)+M24</f>
        <v>-157680</v>
      </c>
      <c r="T24" s="220">
        <f>+VLOOKUP(A24,'Change in Proportion Layers'!$AL$8:$AQ$322,5,FALSE)+N24</f>
        <v>-56262</v>
      </c>
      <c r="U24" s="220">
        <f>+VLOOKUP(A24,'Change in Proportion Layers'!$AL$8:$AQ$322,6,FALSE)+O24-1</f>
        <v>53291</v>
      </c>
      <c r="W24" s="220">
        <f>('OPEB Amounts_Report'!H24-'OPEB Amounts_Report'!M24)</f>
        <v>-107167</v>
      </c>
      <c r="X24" s="245">
        <f t="shared" si="5"/>
        <v>0</v>
      </c>
    </row>
    <row r="25" spans="1:24" s="8" customFormat="1">
      <c r="A25" s="211">
        <v>2402</v>
      </c>
      <c r="B25" s="212" t="s">
        <v>15</v>
      </c>
      <c r="C25" s="46">
        <f t="shared" si="0"/>
        <v>26145</v>
      </c>
      <c r="D25" s="46">
        <f t="shared" si="1"/>
        <v>-44166</v>
      </c>
      <c r="E25" s="46">
        <f t="shared" si="2"/>
        <v>-5543</v>
      </c>
      <c r="F25" s="46">
        <f t="shared" si="3"/>
        <v>58621</v>
      </c>
      <c r="G25" s="46">
        <f t="shared" si="4"/>
        <v>61244</v>
      </c>
      <c r="I25" s="49"/>
      <c r="K25" s="220">
        <f>ROUND(VLOOKUP($A25,'Contribution Allocation_Report'!$A$9:$D$314,4,FALSE)*$K$326,0)</f>
        <v>-148079</v>
      </c>
      <c r="L25" s="220">
        <f>ROUND(VLOOKUP($A25,'Contribution Allocation_Report'!$A$9:$D$314,4,FALSE)*$L$326,0)</f>
        <v>-203090</v>
      </c>
      <c r="M25" s="220">
        <f>ROUND(VLOOKUP($A25,'Contribution Allocation_Report'!$A$9:$D$314,4,FALSE)*$M$326,0)</f>
        <v>-132787</v>
      </c>
      <c r="N25" s="220">
        <f>ROUND(VLOOKUP($A25,'Contribution Allocation_Report'!$A$9:$D$314,4,FALSE)*$N$326,0)</f>
        <v>-33965</v>
      </c>
      <c r="O25" s="220">
        <f>ROUND(VLOOKUP($A25,'Contribution Allocation_Report'!$A$9:$D$314,4,FALSE)*$O$326,0)</f>
        <v>14621</v>
      </c>
      <c r="Q25" s="220">
        <f>+VLOOKUP(A25,'Change in Proportion Layers'!$AL$8:$AQ$322,2,FALSE)+K25</f>
        <v>26145</v>
      </c>
      <c r="R25" s="220">
        <f>+VLOOKUP(A25,'Change in Proportion Layers'!$AL$8:$AQ$322,3,FALSE)+L25</f>
        <v>-44166</v>
      </c>
      <c r="S25" s="220">
        <f>+VLOOKUP(A25,'Change in Proportion Layers'!$AL$8:$AQ$322,4,FALSE)+M25</f>
        <v>-5543</v>
      </c>
      <c r="T25" s="220">
        <f>+VLOOKUP(A25,'Change in Proportion Layers'!$AL$8:$AQ$322,5,FALSE)+N25</f>
        <v>58621</v>
      </c>
      <c r="U25" s="220">
        <f>+VLOOKUP(A25,'Change in Proportion Layers'!$AL$8:$AQ$322,6,FALSE)+O25-1</f>
        <v>61244</v>
      </c>
      <c r="W25" s="220">
        <f>('OPEB Amounts_Report'!H25-'OPEB Amounts_Report'!M25)</f>
        <v>96301</v>
      </c>
      <c r="X25" s="245">
        <f t="shared" si="5"/>
        <v>0</v>
      </c>
    </row>
    <row r="26" spans="1:24" s="8" customFormat="1">
      <c r="A26" s="209">
        <v>2361</v>
      </c>
      <c r="B26" s="210" t="s">
        <v>16</v>
      </c>
      <c r="C26" s="219">
        <f t="shared" si="0"/>
        <v>-92503</v>
      </c>
      <c r="D26" s="219">
        <f t="shared" si="1"/>
        <v>-96285</v>
      </c>
      <c r="E26" s="219">
        <f t="shared" si="2"/>
        <v>-61351</v>
      </c>
      <c r="F26" s="219">
        <f t="shared" si="3"/>
        <v>-37605</v>
      </c>
      <c r="G26" s="219">
        <f t="shared" si="4"/>
        <v>1336</v>
      </c>
      <c r="I26" s="49"/>
      <c r="K26" s="220">
        <f>ROUND(VLOOKUP($A26,'Contribution Allocation_Report'!$A$9:$D$314,4,FALSE)*$K$326,0)</f>
        <v>-49851</v>
      </c>
      <c r="L26" s="220">
        <f>ROUND(VLOOKUP($A26,'Contribution Allocation_Report'!$A$9:$D$314,4,FALSE)*$L$326,0)</f>
        <v>-68370</v>
      </c>
      <c r="M26" s="220">
        <f>ROUND(VLOOKUP($A26,'Contribution Allocation_Report'!$A$9:$D$314,4,FALSE)*$M$326,0)</f>
        <v>-44703</v>
      </c>
      <c r="N26" s="220">
        <f>ROUND(VLOOKUP($A26,'Contribution Allocation_Report'!$A$9:$D$314,4,FALSE)*$N$326,0)</f>
        <v>-11434</v>
      </c>
      <c r="O26" s="220">
        <f>ROUND(VLOOKUP($A26,'Contribution Allocation_Report'!$A$9:$D$314,4,FALSE)*$O$326,0)</f>
        <v>4922</v>
      </c>
      <c r="Q26" s="220">
        <f>+VLOOKUP(A26,'Change in Proportion Layers'!$AL$8:$AQ$322,2,FALSE)+K26</f>
        <v>-92503</v>
      </c>
      <c r="R26" s="220">
        <f>+VLOOKUP(A26,'Change in Proportion Layers'!$AL$8:$AQ$322,3,FALSE)+L26</f>
        <v>-96285</v>
      </c>
      <c r="S26" s="220">
        <f>+VLOOKUP(A26,'Change in Proportion Layers'!$AL$8:$AQ$322,4,FALSE)+M26</f>
        <v>-61351</v>
      </c>
      <c r="T26" s="220">
        <f>+VLOOKUP(A26,'Change in Proportion Layers'!$AL$8:$AQ$322,5,FALSE)+N26</f>
        <v>-37605</v>
      </c>
      <c r="U26" s="220">
        <f>+VLOOKUP(A26,'Change in Proportion Layers'!$AL$8:$AQ$322,6,FALSE)+O26-1</f>
        <v>1336</v>
      </c>
      <c r="W26" s="220">
        <f>('OPEB Amounts_Report'!H26-'OPEB Amounts_Report'!M26)</f>
        <v>-286408</v>
      </c>
      <c r="X26" s="245">
        <f t="shared" si="5"/>
        <v>0</v>
      </c>
    </row>
    <row r="27" spans="1:24" s="8" customFormat="1">
      <c r="A27" s="211">
        <v>8347</v>
      </c>
      <c r="B27" s="212" t="s">
        <v>17</v>
      </c>
      <c r="C27" s="46">
        <f t="shared" si="0"/>
        <v>-86635</v>
      </c>
      <c r="D27" s="46">
        <f t="shared" si="1"/>
        <v>-98400</v>
      </c>
      <c r="E27" s="46">
        <f t="shared" si="2"/>
        <v>-63838</v>
      </c>
      <c r="F27" s="46">
        <f t="shared" si="3"/>
        <v>19276</v>
      </c>
      <c r="G27" s="46">
        <f t="shared" si="4"/>
        <v>24772</v>
      </c>
      <c r="I27" s="49"/>
      <c r="K27" s="220">
        <f>ROUND(VLOOKUP($A27,'Contribution Allocation_Report'!$A$9:$D$314,4,FALSE)*$K$326,0)</f>
        <v>-94159</v>
      </c>
      <c r="L27" s="220">
        <f>ROUND(VLOOKUP($A27,'Contribution Allocation_Report'!$A$9:$D$314,4,FALSE)*$L$326,0)</f>
        <v>-129138</v>
      </c>
      <c r="M27" s="220">
        <f>ROUND(VLOOKUP($A27,'Contribution Allocation_Report'!$A$9:$D$314,4,FALSE)*$M$326,0)</f>
        <v>-84435</v>
      </c>
      <c r="N27" s="220">
        <f>ROUND(VLOOKUP($A27,'Contribution Allocation_Report'!$A$9:$D$314,4,FALSE)*$N$326,0)</f>
        <v>-21597</v>
      </c>
      <c r="O27" s="220">
        <f>ROUND(VLOOKUP($A27,'Contribution Allocation_Report'!$A$9:$D$314,4,FALSE)*$O$326,0)</f>
        <v>9297</v>
      </c>
      <c r="Q27" s="220">
        <f>+VLOOKUP(A27,'Change in Proportion Layers'!$AL$8:$AQ$322,2,FALSE)+K27</f>
        <v>-86635</v>
      </c>
      <c r="R27" s="220">
        <f>+VLOOKUP(A27,'Change in Proportion Layers'!$AL$8:$AQ$322,3,FALSE)+L27</f>
        <v>-98400</v>
      </c>
      <c r="S27" s="220">
        <f>+VLOOKUP(A27,'Change in Proportion Layers'!$AL$8:$AQ$322,4,FALSE)+M27</f>
        <v>-63838</v>
      </c>
      <c r="T27" s="220">
        <f>+VLOOKUP(A27,'Change in Proportion Layers'!$AL$8:$AQ$322,5,FALSE)+N27</f>
        <v>19276</v>
      </c>
      <c r="U27" s="220">
        <f>+VLOOKUP(A27,'Change in Proportion Layers'!$AL$8:$AQ$322,6,FALSE)+O27</f>
        <v>24772</v>
      </c>
      <c r="W27" s="220">
        <f>('OPEB Amounts_Report'!H27-'OPEB Amounts_Report'!M27)</f>
        <v>-204825</v>
      </c>
      <c r="X27" s="245">
        <f t="shared" si="5"/>
        <v>0</v>
      </c>
    </row>
    <row r="28" spans="1:24" s="8" customFormat="1">
      <c r="A28" s="209">
        <v>2356</v>
      </c>
      <c r="B28" s="210" t="s">
        <v>18</v>
      </c>
      <c r="C28" s="219">
        <f t="shared" si="0"/>
        <v>-131534</v>
      </c>
      <c r="D28" s="219">
        <f t="shared" si="1"/>
        <v>-206590</v>
      </c>
      <c r="E28" s="219">
        <f t="shared" si="2"/>
        <v>-128718</v>
      </c>
      <c r="F28" s="219">
        <f t="shared" si="3"/>
        <v>-27479</v>
      </c>
      <c r="G28" s="219">
        <f t="shared" si="4"/>
        <v>21714</v>
      </c>
      <c r="I28" s="49"/>
      <c r="K28" s="220">
        <f>ROUND(VLOOKUP($A28,'Contribution Allocation_Report'!$A$9:$D$314,4,FALSE)*$K$326,0)</f>
        <v>-169567</v>
      </c>
      <c r="L28" s="220">
        <f>ROUND(VLOOKUP($A28,'Contribution Allocation_Report'!$A$9:$D$314,4,FALSE)*$L$326,0)</f>
        <v>-232561</v>
      </c>
      <c r="M28" s="220">
        <f>ROUND(VLOOKUP($A28,'Contribution Allocation_Report'!$A$9:$D$314,4,FALSE)*$M$326,0)</f>
        <v>-152056</v>
      </c>
      <c r="N28" s="220">
        <f>ROUND(VLOOKUP($A28,'Contribution Allocation_Report'!$A$9:$D$314,4,FALSE)*$N$326,0)</f>
        <v>-38894</v>
      </c>
      <c r="O28" s="220">
        <f>ROUND(VLOOKUP($A28,'Contribution Allocation_Report'!$A$9:$D$314,4,FALSE)*$O$326,0)-1</f>
        <v>16742</v>
      </c>
      <c r="Q28" s="220">
        <f>+VLOOKUP(A28,'Change in Proportion Layers'!$AL$8:$AQ$322,2,FALSE)+K28</f>
        <v>-131534</v>
      </c>
      <c r="R28" s="220">
        <f>+VLOOKUP(A28,'Change in Proportion Layers'!$AL$8:$AQ$322,3,FALSE)+L28</f>
        <v>-206590</v>
      </c>
      <c r="S28" s="220">
        <f>+VLOOKUP(A28,'Change in Proportion Layers'!$AL$8:$AQ$322,4,FALSE)+M28</f>
        <v>-128718</v>
      </c>
      <c r="T28" s="220">
        <f>+VLOOKUP(A28,'Change in Proportion Layers'!$AL$8:$AQ$322,5,FALSE)+N28</f>
        <v>-27479</v>
      </c>
      <c r="U28" s="220">
        <f>+VLOOKUP(A28,'Change in Proportion Layers'!$AL$8:$AQ$322,6,FALSE)+O28-1</f>
        <v>21714</v>
      </c>
      <c r="W28" s="220">
        <f>('OPEB Amounts_Report'!H28-'OPEB Amounts_Report'!M28)</f>
        <v>-472607</v>
      </c>
      <c r="X28" s="245">
        <f t="shared" si="5"/>
        <v>0</v>
      </c>
    </row>
    <row r="29" spans="1:24" s="8" customFormat="1">
      <c r="A29" s="211">
        <v>7335</v>
      </c>
      <c r="B29" s="212" t="s">
        <v>19</v>
      </c>
      <c r="C29" s="46">
        <f t="shared" si="0"/>
        <v>-88854</v>
      </c>
      <c r="D29" s="46">
        <f t="shared" si="1"/>
        <v>-96268</v>
      </c>
      <c r="E29" s="46">
        <f t="shared" si="2"/>
        <v>-67910</v>
      </c>
      <c r="F29" s="46">
        <f t="shared" si="3"/>
        <v>-66045</v>
      </c>
      <c r="G29" s="46">
        <f t="shared" si="4"/>
        <v>-15259</v>
      </c>
      <c r="I29" s="49"/>
      <c r="K29" s="220">
        <f>ROUND(VLOOKUP($A29,'Contribution Allocation_Report'!$A$9:$D$314,4,FALSE)*$K$326,0)</f>
        <v>-46807</v>
      </c>
      <c r="L29" s="220">
        <f>ROUND(VLOOKUP($A29,'Contribution Allocation_Report'!$A$9:$D$314,4,FALSE)*$L$326,0)</f>
        <v>-64196</v>
      </c>
      <c r="M29" s="220">
        <f>ROUND(VLOOKUP($A29,'Contribution Allocation_Report'!$A$9:$D$314,4,FALSE)*$M$326,0)</f>
        <v>-41974</v>
      </c>
      <c r="N29" s="220">
        <f>ROUND(VLOOKUP($A29,'Contribution Allocation_Report'!$A$9:$D$314,4,FALSE)*$N$326,0)</f>
        <v>-10736</v>
      </c>
      <c r="O29" s="220">
        <f>ROUND(VLOOKUP($A29,'Contribution Allocation_Report'!$A$9:$D$314,4,FALSE)*$O$326,0)</f>
        <v>4622</v>
      </c>
      <c r="Q29" s="220">
        <f>+VLOOKUP(A29,'Change in Proportion Layers'!$AL$8:$AQ$322,2,FALSE)+K29</f>
        <v>-88854</v>
      </c>
      <c r="R29" s="220">
        <f>+VLOOKUP(A29,'Change in Proportion Layers'!$AL$8:$AQ$322,3,FALSE)+L29</f>
        <v>-96268</v>
      </c>
      <c r="S29" s="220">
        <f>+VLOOKUP(A29,'Change in Proportion Layers'!$AL$8:$AQ$322,4,FALSE)+M29</f>
        <v>-67910</v>
      </c>
      <c r="T29" s="220">
        <f>+VLOOKUP(A29,'Change in Proportion Layers'!$AL$8:$AQ$322,5,FALSE)+N29</f>
        <v>-66045</v>
      </c>
      <c r="U29" s="220">
        <f>+VLOOKUP(A29,'Change in Proportion Layers'!$AL$8:$AQ$322,6,FALSE)+O29-1</f>
        <v>-15259</v>
      </c>
      <c r="W29" s="220">
        <f>('OPEB Amounts_Report'!H29-'OPEB Amounts_Report'!M29)</f>
        <v>-334336</v>
      </c>
      <c r="X29" s="245">
        <f t="shared" si="5"/>
        <v>0</v>
      </c>
    </row>
    <row r="30" spans="1:24" s="8" customFormat="1">
      <c r="A30" s="209">
        <v>575</v>
      </c>
      <c r="B30" s="210" t="s">
        <v>398</v>
      </c>
      <c r="C30" s="219">
        <f t="shared" si="0"/>
        <v>35330</v>
      </c>
      <c r="D30" s="219">
        <f t="shared" si="1"/>
        <v>-7835</v>
      </c>
      <c r="E30" s="219">
        <f t="shared" si="2"/>
        <v>-26759</v>
      </c>
      <c r="F30" s="219">
        <f t="shared" si="3"/>
        <v>-4369</v>
      </c>
      <c r="G30" s="219">
        <f t="shared" si="4"/>
        <v>3428</v>
      </c>
      <c r="I30" s="49"/>
      <c r="K30" s="220">
        <f>ROUND(VLOOKUP($A30,'Contribution Allocation_Report'!$A$9:$D$314,4,FALSE)*$K$326,0)</f>
        <v>-60672</v>
      </c>
      <c r="L30" s="220">
        <f>ROUND(VLOOKUP($A30,'Contribution Allocation_Report'!$A$9:$D$314,4,FALSE)*$L$326,0)</f>
        <v>-83211</v>
      </c>
      <c r="M30" s="220">
        <f>ROUND(VLOOKUP($A30,'Contribution Allocation_Report'!$A$9:$D$314,4,FALSE)*$M$326,0)</f>
        <v>-54406</v>
      </c>
      <c r="N30" s="220">
        <f>ROUND(VLOOKUP($A30,'Contribution Allocation_Report'!$A$9:$D$314,4,FALSE)*$N$326,0)</f>
        <v>-13916</v>
      </c>
      <c r="O30" s="220">
        <f>ROUND(VLOOKUP($A30,'Contribution Allocation_Report'!$A$9:$D$314,4,FALSE)*$O$326,0)</f>
        <v>5991</v>
      </c>
      <c r="Q30" s="220">
        <f>+VLOOKUP(A30,'Change in Proportion Layers'!$AL$8:$AQ$322,2,FALSE)+K30</f>
        <v>35330</v>
      </c>
      <c r="R30" s="220">
        <f>+VLOOKUP(A30,'Change in Proportion Layers'!$AL$8:$AQ$322,3,FALSE)+L30</f>
        <v>-7835</v>
      </c>
      <c r="S30" s="220">
        <f>+VLOOKUP(A30,'Change in Proportion Layers'!$AL$8:$AQ$322,4,FALSE)+M30</f>
        <v>-26759</v>
      </c>
      <c r="T30" s="220">
        <f>+VLOOKUP(A30,'Change in Proportion Layers'!$AL$8:$AQ$322,5,FALSE)+N30</f>
        <v>-4369</v>
      </c>
      <c r="U30" s="220">
        <f>+VLOOKUP(A30,'Change in Proportion Layers'!$AL$8:$AQ$322,6,FALSE)+O30</f>
        <v>3428</v>
      </c>
      <c r="W30" s="220">
        <f>('OPEB Amounts_Report'!H30-'OPEB Amounts_Report'!M30)</f>
        <v>-205</v>
      </c>
      <c r="X30" s="245">
        <f t="shared" si="5"/>
        <v>0</v>
      </c>
    </row>
    <row r="31" spans="1:24" s="8" customFormat="1">
      <c r="A31" s="211">
        <v>2303</v>
      </c>
      <c r="B31" s="212" t="s">
        <v>20</v>
      </c>
      <c r="C31" s="46">
        <f t="shared" si="0"/>
        <v>-179911</v>
      </c>
      <c r="D31" s="46">
        <f t="shared" si="1"/>
        <v>-198049</v>
      </c>
      <c r="E31" s="46">
        <f t="shared" si="2"/>
        <v>-132564</v>
      </c>
      <c r="F31" s="46">
        <f t="shared" si="3"/>
        <v>-46880</v>
      </c>
      <c r="G31" s="46">
        <f t="shared" si="4"/>
        <v>-16693</v>
      </c>
      <c r="I31" s="49"/>
      <c r="K31" s="220">
        <f>ROUND(VLOOKUP($A31,'Contribution Allocation_Report'!$A$9:$D$314,4,FALSE)*$K$326,0)</f>
        <v>-104839</v>
      </c>
      <c r="L31" s="220">
        <f>ROUND(VLOOKUP($A31,'Contribution Allocation_Report'!$A$9:$D$314,4,FALSE)*$L$326,0)</f>
        <v>-143787</v>
      </c>
      <c r="M31" s="220">
        <f>ROUND(VLOOKUP($A31,'Contribution Allocation_Report'!$A$9:$D$314,4,FALSE)*$M$326,0)</f>
        <v>-94012</v>
      </c>
      <c r="N31" s="220">
        <f>ROUND(VLOOKUP($A31,'Contribution Allocation_Report'!$A$9:$D$314,4,FALSE)*$N$326,0)</f>
        <v>-24047</v>
      </c>
      <c r="O31" s="220">
        <f>ROUND(VLOOKUP($A31,'Contribution Allocation_Report'!$A$9:$D$314,4,FALSE)*$O$326,0)-1</f>
        <v>10351</v>
      </c>
      <c r="Q31" s="220">
        <f>+VLOOKUP(A31,'Change in Proportion Layers'!$AL$8:$AQ$322,2,FALSE)+K31</f>
        <v>-179911</v>
      </c>
      <c r="R31" s="220">
        <f>+VLOOKUP(A31,'Change in Proportion Layers'!$AL$8:$AQ$322,3,FALSE)+L31</f>
        <v>-198049</v>
      </c>
      <c r="S31" s="220">
        <f>+VLOOKUP(A31,'Change in Proportion Layers'!$AL$8:$AQ$322,4,FALSE)+M31</f>
        <v>-132564</v>
      </c>
      <c r="T31" s="220">
        <f>+VLOOKUP(A31,'Change in Proportion Layers'!$AL$8:$AQ$322,5,FALSE)+N31</f>
        <v>-46880</v>
      </c>
      <c r="U31" s="220">
        <f>+VLOOKUP(A31,'Change in Proportion Layers'!$AL$8:$AQ$322,6,FALSE)+O31</f>
        <v>-16693</v>
      </c>
      <c r="W31" s="220">
        <f>('OPEB Amounts_Report'!H31-'OPEB Amounts_Report'!M31)</f>
        <v>-574097</v>
      </c>
      <c r="X31" s="245">
        <f t="shared" si="5"/>
        <v>0</v>
      </c>
    </row>
    <row r="32" spans="1:24" s="8" customFormat="1">
      <c r="A32" s="209">
        <v>20316</v>
      </c>
      <c r="B32" s="210" t="s">
        <v>21</v>
      </c>
      <c r="C32" s="219">
        <f t="shared" si="0"/>
        <v>-30907</v>
      </c>
      <c r="D32" s="219">
        <f t="shared" si="1"/>
        <v>-60993</v>
      </c>
      <c r="E32" s="219">
        <f t="shared" si="2"/>
        <v>-42161</v>
      </c>
      <c r="F32" s="219">
        <f t="shared" si="3"/>
        <v>-15439</v>
      </c>
      <c r="G32" s="219">
        <f t="shared" si="4"/>
        <v>3567</v>
      </c>
      <c r="I32" s="49"/>
      <c r="K32" s="220">
        <f>ROUND(VLOOKUP($A32,'Contribution Allocation_Report'!$A$9:$D$314,4,FALSE)*$K$326,0)</f>
        <v>-74120</v>
      </c>
      <c r="L32" s="220">
        <f>ROUND(VLOOKUP($A32,'Contribution Allocation_Report'!$A$9:$D$314,4,FALSE)*$L$326,0)</f>
        <v>-101655</v>
      </c>
      <c r="M32" s="220">
        <f>ROUND(VLOOKUP($A32,'Contribution Allocation_Report'!$A$9:$D$314,4,FALSE)*$M$326,0)</f>
        <v>-66465</v>
      </c>
      <c r="N32" s="220">
        <f>ROUND(VLOOKUP($A32,'Contribution Allocation_Report'!$A$9:$D$314,4,FALSE)*$N$326,0)</f>
        <v>-17001</v>
      </c>
      <c r="O32" s="220">
        <f>ROUND(VLOOKUP($A32,'Contribution Allocation_Report'!$A$9:$D$314,4,FALSE)*$O$326,0)</f>
        <v>7318</v>
      </c>
      <c r="Q32" s="220">
        <f>+VLOOKUP(A32,'Change in Proportion Layers'!$AL$8:$AQ$322,2,FALSE)+K32</f>
        <v>-30907</v>
      </c>
      <c r="R32" s="220">
        <f>+VLOOKUP(A32,'Change in Proportion Layers'!$AL$8:$AQ$322,3,FALSE)+L32</f>
        <v>-60993</v>
      </c>
      <c r="S32" s="220">
        <f>+VLOOKUP(A32,'Change in Proportion Layers'!$AL$8:$AQ$322,4,FALSE)+M32</f>
        <v>-42161</v>
      </c>
      <c r="T32" s="220">
        <f>+VLOOKUP(A32,'Change in Proportion Layers'!$AL$8:$AQ$322,5,FALSE)+N32</f>
        <v>-15439</v>
      </c>
      <c r="U32" s="220">
        <f>+VLOOKUP(A32,'Change in Proportion Layers'!$AL$8:$AQ$322,6,FALSE)+O32</f>
        <v>3567</v>
      </c>
      <c r="W32" s="220">
        <f>('OPEB Amounts_Report'!H32-'OPEB Amounts_Report'!M32)</f>
        <v>-145933</v>
      </c>
      <c r="X32" s="245">
        <f t="shared" si="5"/>
        <v>0</v>
      </c>
    </row>
    <row r="33" spans="1:24" s="8" customFormat="1">
      <c r="A33" s="211">
        <v>23121</v>
      </c>
      <c r="B33" s="212" t="s">
        <v>22</v>
      </c>
      <c r="C33" s="46">
        <f t="shared" si="0"/>
        <v>-90714</v>
      </c>
      <c r="D33" s="46">
        <f t="shared" si="1"/>
        <v>-113113</v>
      </c>
      <c r="E33" s="46">
        <f t="shared" si="2"/>
        <v>-53812</v>
      </c>
      <c r="F33" s="46">
        <f t="shared" si="3"/>
        <v>-11190</v>
      </c>
      <c r="G33" s="46">
        <f t="shared" si="4"/>
        <v>16378</v>
      </c>
      <c r="I33" s="49"/>
      <c r="K33" s="220">
        <f>ROUND(VLOOKUP($A33,'Contribution Allocation_Report'!$A$9:$D$314,4,FALSE)*$K$326,0)</f>
        <v>-90525</v>
      </c>
      <c r="L33" s="220">
        <f>ROUND(VLOOKUP($A33,'Contribution Allocation_Report'!$A$9:$D$314,4,FALSE)*$L$326,0)</f>
        <v>-124155</v>
      </c>
      <c r="M33" s="220">
        <f>ROUND(VLOOKUP($A33,'Contribution Allocation_Report'!$A$9:$D$314,4,FALSE)*$M$326,0)</f>
        <v>-81177</v>
      </c>
      <c r="N33" s="220">
        <f>ROUND(VLOOKUP($A33,'Contribution Allocation_Report'!$A$9:$D$314,4,FALSE)*$N$326,0)</f>
        <v>-20764</v>
      </c>
      <c r="O33" s="220">
        <f>ROUND(VLOOKUP($A33,'Contribution Allocation_Report'!$A$9:$D$314,4,FALSE)*$O$326,0)</f>
        <v>8938</v>
      </c>
      <c r="Q33" s="220">
        <f>+VLOOKUP(A33,'Change in Proportion Layers'!$AL$8:$AQ$322,2,FALSE)+K33</f>
        <v>-90714</v>
      </c>
      <c r="R33" s="220">
        <f>+VLOOKUP(A33,'Change in Proportion Layers'!$AL$8:$AQ$322,3,FALSE)+L33</f>
        <v>-113113</v>
      </c>
      <c r="S33" s="220">
        <f>+VLOOKUP(A33,'Change in Proportion Layers'!$AL$8:$AQ$322,4,FALSE)+M33</f>
        <v>-53812</v>
      </c>
      <c r="T33" s="220">
        <f>+VLOOKUP(A33,'Change in Proportion Layers'!$AL$8:$AQ$322,5,FALSE)+N33</f>
        <v>-11190</v>
      </c>
      <c r="U33" s="220">
        <f>+VLOOKUP(A33,'Change in Proportion Layers'!$AL$8:$AQ$322,6,FALSE)+O33</f>
        <v>16378</v>
      </c>
      <c r="W33" s="220">
        <f>('OPEB Amounts_Report'!H33-'OPEB Amounts_Report'!M33)</f>
        <v>-252451</v>
      </c>
      <c r="X33" s="245">
        <f t="shared" si="5"/>
        <v>0</v>
      </c>
    </row>
    <row r="34" spans="1:24" s="8" customFormat="1">
      <c r="A34" s="209">
        <v>3004</v>
      </c>
      <c r="B34" s="210" t="s">
        <v>23</v>
      </c>
      <c r="C34" s="219">
        <f t="shared" si="0"/>
        <v>-1418524</v>
      </c>
      <c r="D34" s="219">
        <f t="shared" si="1"/>
        <v>-1850061</v>
      </c>
      <c r="E34" s="219">
        <f t="shared" si="2"/>
        <v>-1297652</v>
      </c>
      <c r="F34" s="219">
        <f t="shared" si="3"/>
        <v>-330293</v>
      </c>
      <c r="G34" s="219">
        <f t="shared" si="4"/>
        <v>32022</v>
      </c>
      <c r="I34" s="49"/>
      <c r="K34" s="220">
        <f>ROUND(VLOOKUP($A34,'Contribution Allocation_Report'!$A$9:$D$314,4,FALSE)*$K$326,0)</f>
        <v>-1322840</v>
      </c>
      <c r="L34" s="220">
        <f>ROUND(VLOOKUP($A34,'Contribution Allocation_Report'!$A$9:$D$314,4,FALSE)*$L$326,0)</f>
        <v>-1814271</v>
      </c>
      <c r="M34" s="220">
        <f>ROUND(VLOOKUP($A34,'Contribution Allocation_Report'!$A$9:$D$314,4,FALSE)*$M$326,0)</f>
        <v>-1186228</v>
      </c>
      <c r="N34" s="220">
        <f>ROUND(VLOOKUP($A34,'Contribution Allocation_Report'!$A$9:$D$314,4,FALSE)*$N$326,0)</f>
        <v>-303420</v>
      </c>
      <c r="O34" s="220">
        <f>ROUND(VLOOKUP($A34,'Contribution Allocation_Report'!$A$9:$D$314,4,FALSE)*$O$326,0)-1</f>
        <v>130612</v>
      </c>
      <c r="Q34" s="220">
        <f>+VLOOKUP(A34,'Change in Proportion Layers'!$AL$8:$AQ$322,2,FALSE)+K34</f>
        <v>-1418524</v>
      </c>
      <c r="R34" s="220">
        <f>+VLOOKUP(A34,'Change in Proportion Layers'!$AL$8:$AQ$322,3,FALSE)+L34</f>
        <v>-1850061</v>
      </c>
      <c r="S34" s="220">
        <f>+VLOOKUP(A34,'Change in Proportion Layers'!$AL$8:$AQ$322,4,FALSE)+M34</f>
        <v>-1297652</v>
      </c>
      <c r="T34" s="220">
        <f>+VLOOKUP(A34,'Change in Proportion Layers'!$AL$8:$AQ$322,5,FALSE)+N34</f>
        <v>-330293</v>
      </c>
      <c r="U34" s="220">
        <f>+VLOOKUP(A34,'Change in Proportion Layers'!$AL$8:$AQ$322,6,FALSE)+O34</f>
        <v>32022</v>
      </c>
      <c r="W34" s="220">
        <f>('OPEB Amounts_Report'!H34-'OPEB Amounts_Report'!M34)</f>
        <v>-4864508</v>
      </c>
      <c r="X34" s="245">
        <f t="shared" si="5"/>
        <v>0</v>
      </c>
    </row>
    <row r="35" spans="1:24" s="8" customFormat="1">
      <c r="A35" s="211">
        <v>16050</v>
      </c>
      <c r="B35" s="212" t="s">
        <v>24</v>
      </c>
      <c r="C35" s="46">
        <f t="shared" si="0"/>
        <v>-939835</v>
      </c>
      <c r="D35" s="46">
        <f t="shared" si="1"/>
        <v>-1287533</v>
      </c>
      <c r="E35" s="46">
        <f t="shared" si="2"/>
        <v>-927225</v>
      </c>
      <c r="F35" s="46">
        <f t="shared" si="3"/>
        <v>-299608</v>
      </c>
      <c r="G35" s="46">
        <f t="shared" si="4"/>
        <v>-22191</v>
      </c>
      <c r="I35" s="49"/>
      <c r="K35" s="220">
        <f>ROUND(VLOOKUP($A35,'Contribution Allocation_Report'!$A$9:$D$314,4,FALSE)*$K$326,0)</f>
        <v>-867523</v>
      </c>
      <c r="L35" s="220">
        <f>ROUND(VLOOKUP($A35,'Contribution Allocation_Report'!$A$9:$D$314,4,FALSE)*$L$326,0)</f>
        <v>-1189805</v>
      </c>
      <c r="M35" s="220">
        <f>ROUND(VLOOKUP($A35,'Contribution Allocation_Report'!$A$9:$D$314,4,FALSE)*$M$326,0)</f>
        <v>-777933</v>
      </c>
      <c r="N35" s="220">
        <f>ROUND(VLOOKUP($A35,'Contribution Allocation_Report'!$A$9:$D$314,4,FALSE)*$N$326,0)</f>
        <v>-198984</v>
      </c>
      <c r="O35" s="220">
        <f>ROUND(VLOOKUP($A35,'Contribution Allocation_Report'!$A$9:$D$314,4,FALSE)*$O$326,0)-1</f>
        <v>85656</v>
      </c>
      <c r="Q35" s="220">
        <f>+VLOOKUP(A35,'Change in Proportion Layers'!$AL$8:$AQ$322,2,FALSE)+K35</f>
        <v>-939835</v>
      </c>
      <c r="R35" s="220">
        <f>+VLOOKUP(A35,'Change in Proportion Layers'!$AL$8:$AQ$322,3,FALSE)+L35</f>
        <v>-1287533</v>
      </c>
      <c r="S35" s="220">
        <f>+VLOOKUP(A35,'Change in Proportion Layers'!$AL$8:$AQ$322,4,FALSE)+M35</f>
        <v>-927225</v>
      </c>
      <c r="T35" s="220">
        <f>+VLOOKUP(A35,'Change in Proportion Layers'!$AL$8:$AQ$322,5,FALSE)+N35</f>
        <v>-299608</v>
      </c>
      <c r="U35" s="220">
        <f>+VLOOKUP(A35,'Change in Proportion Layers'!$AL$8:$AQ$322,6,FALSE)+O35</f>
        <v>-22191</v>
      </c>
      <c r="W35" s="220">
        <f>('OPEB Amounts_Report'!H35-'OPEB Amounts_Report'!M35)</f>
        <v>-3476392</v>
      </c>
      <c r="X35" s="245">
        <f t="shared" si="5"/>
        <v>0</v>
      </c>
    </row>
    <row r="36" spans="1:24" s="8" customFormat="1">
      <c r="A36" s="209">
        <v>14043</v>
      </c>
      <c r="B36" s="210" t="s">
        <v>25</v>
      </c>
      <c r="C36" s="219">
        <f t="shared" si="0"/>
        <v>-1694332</v>
      </c>
      <c r="D36" s="219">
        <f t="shared" si="1"/>
        <v>-1812460</v>
      </c>
      <c r="E36" s="219">
        <f t="shared" si="2"/>
        <v>-1098533</v>
      </c>
      <c r="F36" s="219">
        <f t="shared" si="3"/>
        <v>-314486</v>
      </c>
      <c r="G36" s="219">
        <f t="shared" si="4"/>
        <v>24418</v>
      </c>
      <c r="I36" s="49"/>
      <c r="K36" s="220">
        <f>ROUND(VLOOKUP($A36,'Contribution Allocation_Report'!$A$9:$D$314,4,FALSE)*$K$326,0)</f>
        <v>-1325998</v>
      </c>
      <c r="L36" s="220">
        <f>ROUND(VLOOKUP($A36,'Contribution Allocation_Report'!$A$9:$D$314,4,FALSE)*$L$326,0)+2</f>
        <v>-1818599</v>
      </c>
      <c r="M36" s="220">
        <f>ROUND(VLOOKUP($A36,'Contribution Allocation_Report'!$A$9:$D$314,4,FALSE)*$M$326,0)</f>
        <v>-1189060</v>
      </c>
      <c r="N36" s="220">
        <f>ROUND(VLOOKUP($A36,'Contribution Allocation_Report'!$A$9:$D$314,4,FALSE)*$N$326,0)</f>
        <v>-304145</v>
      </c>
      <c r="O36" s="220">
        <f>ROUND(VLOOKUP($A36,'Contribution Allocation_Report'!$A$9:$D$314,4,FALSE)*$O$326,0)</f>
        <v>130925</v>
      </c>
      <c r="Q36" s="220">
        <f>+VLOOKUP(A36,'Change in Proportion Layers'!$AL$8:$AQ$322,2,FALSE)+K36</f>
        <v>-1694332</v>
      </c>
      <c r="R36" s="220">
        <f>+VLOOKUP(A36,'Change in Proportion Layers'!$AL$8:$AQ$322,3,FALSE)+L36</f>
        <v>-1812460</v>
      </c>
      <c r="S36" s="220">
        <f>+VLOOKUP(A36,'Change in Proportion Layers'!$AL$8:$AQ$322,4,FALSE)+M36</f>
        <v>-1098533</v>
      </c>
      <c r="T36" s="220">
        <f>+VLOOKUP(A36,'Change in Proportion Layers'!$AL$8:$AQ$322,5,FALSE)+N36</f>
        <v>-314486</v>
      </c>
      <c r="U36" s="220">
        <f>+VLOOKUP(A36,'Change in Proportion Layers'!$AL$8:$AQ$322,6,FALSE)+O36</f>
        <v>24418</v>
      </c>
      <c r="W36" s="220">
        <f>('OPEB Amounts_Report'!H36-'OPEB Amounts_Report'!M36)</f>
        <v>-4895393</v>
      </c>
      <c r="X36" s="245">
        <f t="shared" si="5"/>
        <v>0</v>
      </c>
    </row>
    <row r="37" spans="1:24" s="8" customFormat="1">
      <c r="A37" s="211">
        <v>3010</v>
      </c>
      <c r="B37" s="212" t="s">
        <v>26</v>
      </c>
      <c r="C37" s="46">
        <f t="shared" si="0"/>
        <v>-8853555</v>
      </c>
      <c r="D37" s="46">
        <f t="shared" si="1"/>
        <v>-11117640</v>
      </c>
      <c r="E37" s="46">
        <f t="shared" si="2"/>
        <v>-7507827</v>
      </c>
      <c r="F37" s="46">
        <f t="shared" si="3"/>
        <v>-1464466</v>
      </c>
      <c r="G37" s="46">
        <f t="shared" si="4"/>
        <v>1556186</v>
      </c>
      <c r="I37" s="49"/>
      <c r="K37" s="220">
        <f>ROUND(VLOOKUP($A37,'Contribution Allocation_Report'!$A$9:$D$314,4,FALSE)*$K$326,0)</f>
        <v>-8098910</v>
      </c>
      <c r="L37" s="220">
        <f>ROUND(VLOOKUP($A37,'Contribution Allocation_Report'!$A$9:$D$314,4,FALSE)*$L$326,0)+1</f>
        <v>-11107628</v>
      </c>
      <c r="M37" s="220">
        <f>ROUND(VLOOKUP($A37,'Contribution Allocation_Report'!$A$9:$D$314,4,FALSE)*$M$326,0)</f>
        <v>-7262522</v>
      </c>
      <c r="N37" s="220">
        <f>ROUND(VLOOKUP($A37,'Contribution Allocation_Report'!$A$9:$D$314,4,FALSE)*$N$326,0)</f>
        <v>-1857650</v>
      </c>
      <c r="O37" s="220">
        <f>ROUND(VLOOKUP($A37,'Contribution Allocation_Report'!$A$9:$D$314,4,FALSE)*$O$326,0)</f>
        <v>799662</v>
      </c>
      <c r="Q37" s="220">
        <f>+VLOOKUP(A37,'Change in Proportion Layers'!$AL$8:$AQ$322,2,FALSE)+K37</f>
        <v>-8853555</v>
      </c>
      <c r="R37" s="220">
        <f>+VLOOKUP(A37,'Change in Proportion Layers'!$AL$8:$AQ$322,3,FALSE)+L37</f>
        <v>-11117640</v>
      </c>
      <c r="S37" s="220">
        <f>+VLOOKUP(A37,'Change in Proportion Layers'!$AL$8:$AQ$322,4,FALSE)+M37</f>
        <v>-7507827</v>
      </c>
      <c r="T37" s="220">
        <f>+VLOOKUP(A37,'Change in Proportion Layers'!$AL$8:$AQ$322,5,FALSE)+N37</f>
        <v>-1464466</v>
      </c>
      <c r="U37" s="220">
        <f>+VLOOKUP(A37,'Change in Proportion Layers'!$AL$8:$AQ$322,6,FALSE)+O37</f>
        <v>1556186</v>
      </c>
      <c r="W37" s="220">
        <f>('OPEB Amounts_Report'!H37-'OPEB Amounts_Report'!M37)</f>
        <v>-27387302</v>
      </c>
      <c r="X37" s="245">
        <f t="shared" si="5"/>
        <v>0</v>
      </c>
    </row>
    <row r="38" spans="1:24" s="8" customFormat="1">
      <c r="A38" s="209">
        <v>29086</v>
      </c>
      <c r="B38" s="210" t="s">
        <v>27</v>
      </c>
      <c r="C38" s="219">
        <f t="shared" si="0"/>
        <v>-923570</v>
      </c>
      <c r="D38" s="219">
        <f t="shared" si="1"/>
        <v>-1543367</v>
      </c>
      <c r="E38" s="219">
        <f t="shared" si="2"/>
        <v>-669302</v>
      </c>
      <c r="F38" s="219">
        <f t="shared" si="3"/>
        <v>267265</v>
      </c>
      <c r="G38" s="219">
        <f t="shared" si="4"/>
        <v>101382</v>
      </c>
      <c r="I38" s="49"/>
      <c r="K38" s="220">
        <f>ROUND(VLOOKUP($A38,'Contribution Allocation_Report'!$A$9:$D$314,4,FALSE)*$K$326,0)</f>
        <v>-1503667</v>
      </c>
      <c r="L38" s="220">
        <f>ROUND(VLOOKUP($A38,'Contribution Allocation_Report'!$A$9:$D$314,4,FALSE)*$L$326,0)</f>
        <v>-2062275</v>
      </c>
      <c r="M38" s="220">
        <f>ROUND(VLOOKUP($A38,'Contribution Allocation_Report'!$A$9:$D$314,4,FALSE)*$M$326,0)</f>
        <v>-1348381</v>
      </c>
      <c r="N38" s="220">
        <f>ROUND(VLOOKUP($A38,'Contribution Allocation_Report'!$A$9:$D$314,4,FALSE)*$N$326,0)</f>
        <v>-344897</v>
      </c>
      <c r="O38" s="220">
        <f>ROUND(VLOOKUP($A38,'Contribution Allocation_Report'!$A$9:$D$314,4,FALSE)*$O$326,0)</f>
        <v>148468</v>
      </c>
      <c r="Q38" s="220">
        <f>+VLOOKUP(A38,'Change in Proportion Layers'!$AL$8:$AQ$322,2,FALSE)+K38</f>
        <v>-923570</v>
      </c>
      <c r="R38" s="220">
        <f>+VLOOKUP(A38,'Change in Proportion Layers'!$AL$8:$AQ$322,3,FALSE)+L38</f>
        <v>-1543367</v>
      </c>
      <c r="S38" s="220">
        <f>+VLOOKUP(A38,'Change in Proportion Layers'!$AL$8:$AQ$322,4,FALSE)+M38</f>
        <v>-669302</v>
      </c>
      <c r="T38" s="220">
        <f>+VLOOKUP(A38,'Change in Proportion Layers'!$AL$8:$AQ$322,5,FALSE)+N38</f>
        <v>267265</v>
      </c>
      <c r="U38" s="220">
        <f>+VLOOKUP(A38,'Change in Proportion Layers'!$AL$8:$AQ$322,6,FALSE)+O38</f>
        <v>101382</v>
      </c>
      <c r="W38" s="220">
        <f>('OPEB Amounts_Report'!H38-'OPEB Amounts_Report'!M38)</f>
        <v>-2767592</v>
      </c>
      <c r="X38" s="245">
        <f t="shared" si="5"/>
        <v>0</v>
      </c>
    </row>
    <row r="39" spans="1:24" s="8" customFormat="1">
      <c r="A39" s="211">
        <v>16051</v>
      </c>
      <c r="B39" s="212" t="s">
        <v>28</v>
      </c>
      <c r="C39" s="46">
        <f t="shared" si="0"/>
        <v>-991801</v>
      </c>
      <c r="D39" s="46">
        <f t="shared" si="1"/>
        <v>-1461085</v>
      </c>
      <c r="E39" s="46">
        <f t="shared" si="2"/>
        <v>-960112</v>
      </c>
      <c r="F39" s="46">
        <f t="shared" si="3"/>
        <v>-196178</v>
      </c>
      <c r="G39" s="46">
        <f t="shared" si="4"/>
        <v>46301</v>
      </c>
      <c r="I39" s="49"/>
      <c r="K39" s="220">
        <f>ROUND(VLOOKUP($A39,'Contribution Allocation_Report'!$A$9:$D$314,4,FALSE)*$K$326,0)</f>
        <v>-1042801</v>
      </c>
      <c r="L39" s="220">
        <f>ROUND(VLOOKUP($A39,'Contribution Allocation_Report'!$A$9:$D$314,4,FALSE)*$L$326,0)</f>
        <v>-1430198</v>
      </c>
      <c r="M39" s="220">
        <f>ROUND(VLOOKUP($A39,'Contribution Allocation_Report'!$A$9:$D$314,4,FALSE)*$M$326,0)</f>
        <v>-935109</v>
      </c>
      <c r="N39" s="220">
        <f>ROUND(VLOOKUP($A39,'Contribution Allocation_Report'!$A$9:$D$314,4,FALSE)*$N$326,0)+2</f>
        <v>-239186</v>
      </c>
      <c r="O39" s="220">
        <f>ROUND(VLOOKUP($A39,'Contribution Allocation_Report'!$A$9:$D$314,4,FALSE)*$O$326,0)</f>
        <v>102963</v>
      </c>
      <c r="Q39" s="220">
        <f>+VLOOKUP(A39,'Change in Proportion Layers'!$AL$8:$AQ$322,2,FALSE)+K39</f>
        <v>-991801</v>
      </c>
      <c r="R39" s="220">
        <f>+VLOOKUP(A39,'Change in Proportion Layers'!$AL$8:$AQ$322,3,FALSE)+L39</f>
        <v>-1461085</v>
      </c>
      <c r="S39" s="220">
        <f>+VLOOKUP(A39,'Change in Proportion Layers'!$AL$8:$AQ$322,4,FALSE)+M39</f>
        <v>-960112</v>
      </c>
      <c r="T39" s="220">
        <f>+VLOOKUP(A39,'Change in Proportion Layers'!$AL$8:$AQ$322,5,FALSE)+N39</f>
        <v>-196178</v>
      </c>
      <c r="U39" s="220">
        <f>+VLOOKUP(A39,'Change in Proportion Layers'!$AL$8:$AQ$322,6,FALSE)+O39</f>
        <v>46301</v>
      </c>
      <c r="W39" s="220">
        <f>('OPEB Amounts_Report'!H39-'OPEB Amounts_Report'!M39)</f>
        <v>-3562875</v>
      </c>
      <c r="X39" s="245">
        <f t="shared" si="5"/>
        <v>0</v>
      </c>
    </row>
    <row r="40" spans="1:24" s="8" customFormat="1">
      <c r="A40" s="209">
        <v>26077</v>
      </c>
      <c r="B40" s="210" t="s">
        <v>29</v>
      </c>
      <c r="C40" s="219">
        <f t="shared" si="0"/>
        <v>-185199</v>
      </c>
      <c r="D40" s="219">
        <f t="shared" si="1"/>
        <v>-271829</v>
      </c>
      <c r="E40" s="219">
        <f t="shared" si="2"/>
        <v>-159425</v>
      </c>
      <c r="F40" s="219">
        <f t="shared" si="3"/>
        <v>-28555</v>
      </c>
      <c r="G40" s="219">
        <f t="shared" si="4"/>
        <v>33790</v>
      </c>
      <c r="I40" s="49"/>
      <c r="K40" s="220">
        <f>ROUND(VLOOKUP($A40,'Contribution Allocation_Report'!$A$9:$D$314,4,FALSE)*$K$326,0)</f>
        <v>-212816</v>
      </c>
      <c r="L40" s="220">
        <f>ROUND(VLOOKUP($A40,'Contribution Allocation_Report'!$A$9:$D$314,4,FALSE)*$L$326,0)</f>
        <v>-291877</v>
      </c>
      <c r="M40" s="220">
        <f>ROUND(VLOOKUP($A40,'Contribution Allocation_Report'!$A$9:$D$314,4,FALSE)*$M$326,0)</f>
        <v>-190838</v>
      </c>
      <c r="N40" s="220">
        <f>ROUND(VLOOKUP($A40,'Contribution Allocation_Report'!$A$9:$D$314,4,FALSE)*$N$326,0)</f>
        <v>-48814</v>
      </c>
      <c r="O40" s="220">
        <f>ROUND(VLOOKUP($A40,'Contribution Allocation_Report'!$A$9:$D$314,4,FALSE)*$O$326,0)</f>
        <v>21013</v>
      </c>
      <c r="Q40" s="220">
        <f>+VLOOKUP(A40,'Change in Proportion Layers'!$AL$8:$AQ$322,2,FALSE)+K40</f>
        <v>-185199</v>
      </c>
      <c r="R40" s="220">
        <f>+VLOOKUP(A40,'Change in Proportion Layers'!$AL$8:$AQ$322,3,FALSE)+L40</f>
        <v>-271829</v>
      </c>
      <c r="S40" s="220">
        <f>+VLOOKUP(A40,'Change in Proportion Layers'!$AL$8:$AQ$322,4,FALSE)+M40</f>
        <v>-159425</v>
      </c>
      <c r="T40" s="220">
        <f>+VLOOKUP(A40,'Change in Proportion Layers'!$AL$8:$AQ$322,5,FALSE)+N40</f>
        <v>-28555</v>
      </c>
      <c r="U40" s="220">
        <f>+VLOOKUP(A40,'Change in Proportion Layers'!$AL$8:$AQ$322,6,FALSE)+O40</f>
        <v>33790</v>
      </c>
      <c r="W40" s="220">
        <f>('OPEB Amounts_Report'!H40-'OPEB Amounts_Report'!M40)</f>
        <v>-611218</v>
      </c>
      <c r="X40" s="245">
        <f t="shared" si="5"/>
        <v>0</v>
      </c>
    </row>
    <row r="41" spans="1:24" s="8" customFormat="1">
      <c r="A41" s="211">
        <v>3005</v>
      </c>
      <c r="B41" s="212" t="s">
        <v>30</v>
      </c>
      <c r="C41" s="46">
        <f t="shared" si="0"/>
        <v>-2477568</v>
      </c>
      <c r="D41" s="46">
        <f t="shared" si="1"/>
        <v>-2989110</v>
      </c>
      <c r="E41" s="46">
        <f t="shared" si="2"/>
        <v>-1597836</v>
      </c>
      <c r="F41" s="46">
        <f t="shared" si="3"/>
        <v>-6401</v>
      </c>
      <c r="G41" s="46">
        <f t="shared" si="4"/>
        <v>472017</v>
      </c>
      <c r="I41" s="49"/>
      <c r="K41" s="220">
        <f>ROUND(VLOOKUP($A41,'Contribution Allocation_Report'!$A$9:$D$314,4,FALSE)*$K$326,0)</f>
        <v>-2675282</v>
      </c>
      <c r="L41" s="220">
        <f>ROUND(VLOOKUP($A41,'Contribution Allocation_Report'!$A$9:$D$314,4,FALSE)*$L$326,0)+1</f>
        <v>-3669139</v>
      </c>
      <c r="M41" s="220">
        <f>ROUND(VLOOKUP($A41,'Contribution Allocation_Report'!$A$9:$D$314,4,FALSE)*$M$326,0)</f>
        <v>-2399001</v>
      </c>
      <c r="N41" s="220">
        <f>ROUND(VLOOKUP($A41,'Contribution Allocation_Report'!$A$9:$D$314,4,FALSE)*$N$326,0)</f>
        <v>-613631</v>
      </c>
      <c r="O41" s="220">
        <f>ROUND(VLOOKUP($A41,'Contribution Allocation_Report'!$A$9:$D$314,4,FALSE)*$O$326,0)</f>
        <v>264149</v>
      </c>
      <c r="Q41" s="220">
        <f>+VLOOKUP(A41,'Change in Proportion Layers'!$AL$8:$AQ$322,2,FALSE)+K41</f>
        <v>-2477568</v>
      </c>
      <c r="R41" s="220">
        <f>+VLOOKUP(A41,'Change in Proportion Layers'!$AL$8:$AQ$322,3,FALSE)+L41</f>
        <v>-2989110</v>
      </c>
      <c r="S41" s="220">
        <f>+VLOOKUP(A41,'Change in Proportion Layers'!$AL$8:$AQ$322,4,FALSE)+M41</f>
        <v>-1597836</v>
      </c>
      <c r="T41" s="220">
        <f>+VLOOKUP(A41,'Change in Proportion Layers'!$AL$8:$AQ$322,5,FALSE)+N41</f>
        <v>-6401</v>
      </c>
      <c r="U41" s="220">
        <f>+VLOOKUP(A41,'Change in Proportion Layers'!$AL$8:$AQ$322,6,FALSE)+O41</f>
        <v>472017</v>
      </c>
      <c r="W41" s="220">
        <f>('OPEB Amounts_Report'!H41-'OPEB Amounts_Report'!M41)</f>
        <v>-6598898</v>
      </c>
      <c r="X41" s="245">
        <f t="shared" si="5"/>
        <v>0</v>
      </c>
    </row>
    <row r="42" spans="1:24" s="8" customFormat="1">
      <c r="A42" s="209">
        <v>26078</v>
      </c>
      <c r="B42" s="210" t="s">
        <v>31</v>
      </c>
      <c r="C42" s="219">
        <f t="shared" si="0"/>
        <v>-81249</v>
      </c>
      <c r="D42" s="219">
        <f t="shared" si="1"/>
        <v>-128838</v>
      </c>
      <c r="E42" s="219">
        <f t="shared" si="2"/>
        <v>-76604</v>
      </c>
      <c r="F42" s="219">
        <f t="shared" si="3"/>
        <v>-12087</v>
      </c>
      <c r="G42" s="219">
        <f t="shared" si="4"/>
        <v>2206</v>
      </c>
      <c r="I42" s="49"/>
      <c r="K42" s="220">
        <f>ROUND(VLOOKUP($A42,'Contribution Allocation_Report'!$A$9:$D$314,4,FALSE)*$K$326,0)</f>
        <v>-85857</v>
      </c>
      <c r="L42" s="220">
        <f>ROUND(VLOOKUP($A42,'Contribution Allocation_Report'!$A$9:$D$314,4,FALSE)*$L$326,0)</f>
        <v>-117753</v>
      </c>
      <c r="M42" s="220">
        <f>ROUND(VLOOKUP($A42,'Contribution Allocation_Report'!$A$9:$D$314,4,FALSE)*$M$326,0)</f>
        <v>-76990</v>
      </c>
      <c r="N42" s="220">
        <f>ROUND(VLOOKUP($A42,'Contribution Allocation_Report'!$A$9:$D$314,4,FALSE)*$N$326,0)</f>
        <v>-19693</v>
      </c>
      <c r="O42" s="220">
        <f>ROUND(VLOOKUP($A42,'Contribution Allocation_Report'!$A$9:$D$314,4,FALSE)*$O$326,0)</f>
        <v>8477</v>
      </c>
      <c r="Q42" s="220">
        <f>+VLOOKUP(A42,'Change in Proportion Layers'!$AL$8:$AQ$322,2,FALSE)+K42</f>
        <v>-81249</v>
      </c>
      <c r="R42" s="220">
        <f>+VLOOKUP(A42,'Change in Proportion Layers'!$AL$8:$AQ$322,3,FALSE)+L42</f>
        <v>-128838</v>
      </c>
      <c r="S42" s="220">
        <f>+VLOOKUP(A42,'Change in Proportion Layers'!$AL$8:$AQ$322,4,FALSE)+M42</f>
        <v>-76604</v>
      </c>
      <c r="T42" s="220">
        <f>+VLOOKUP(A42,'Change in Proportion Layers'!$AL$8:$AQ$322,5,FALSE)+N42</f>
        <v>-12087</v>
      </c>
      <c r="U42" s="220">
        <f>+VLOOKUP(A42,'Change in Proportion Layers'!$AL$8:$AQ$322,6,FALSE)+O42+1</f>
        <v>2206</v>
      </c>
      <c r="W42" s="220">
        <f>('OPEB Amounts_Report'!H42-'OPEB Amounts_Report'!M42)</f>
        <v>-296572</v>
      </c>
      <c r="X42" s="245">
        <f t="shared" si="5"/>
        <v>0</v>
      </c>
    </row>
    <row r="43" spans="1:24" s="8" customFormat="1">
      <c r="A43" s="211">
        <v>16053</v>
      </c>
      <c r="B43" s="212" t="s">
        <v>32</v>
      </c>
      <c r="C43" s="46">
        <f t="shared" si="0"/>
        <v>-2340340</v>
      </c>
      <c r="D43" s="46">
        <f t="shared" si="1"/>
        <v>-3135762</v>
      </c>
      <c r="E43" s="46">
        <f t="shared" si="2"/>
        <v>-2206062</v>
      </c>
      <c r="F43" s="46">
        <f t="shared" si="3"/>
        <v>-440928</v>
      </c>
      <c r="G43" s="46">
        <f t="shared" si="4"/>
        <v>-155518</v>
      </c>
      <c r="I43" s="49"/>
      <c r="K43" s="220">
        <f>ROUND(VLOOKUP($A43,'Contribution Allocation_Report'!$A$9:$D$314,4,FALSE)*$K$326,0)</f>
        <v>-2602399</v>
      </c>
      <c r="L43" s="220">
        <f>ROUND(VLOOKUP($A43,'Contribution Allocation_Report'!$A$9:$D$314,4,FALSE)*$L$326,0)</f>
        <v>-3569182</v>
      </c>
      <c r="M43" s="220">
        <f>ROUND(VLOOKUP($A43,'Contribution Allocation_Report'!$A$9:$D$314,4,FALSE)*$M$326,0)</f>
        <v>-2333645</v>
      </c>
      <c r="N43" s="220">
        <f>ROUND(VLOOKUP($A43,'Contribution Allocation_Report'!$A$9:$D$314,4,FALSE)*$N$326,0)</f>
        <v>-596913</v>
      </c>
      <c r="O43" s="220">
        <f>ROUND(VLOOKUP($A43,'Contribution Allocation_Report'!$A$9:$D$314,4,FALSE)*$O$326,0)</f>
        <v>256953</v>
      </c>
      <c r="Q43" s="220">
        <f>+VLOOKUP(A43,'Change in Proportion Layers'!$AL$8:$AQ$322,2,FALSE)+K43</f>
        <v>-2340340</v>
      </c>
      <c r="R43" s="220">
        <f>+VLOOKUP(A43,'Change in Proportion Layers'!$AL$8:$AQ$322,3,FALSE)+L43</f>
        <v>-3135762</v>
      </c>
      <c r="S43" s="220">
        <f>+VLOOKUP(A43,'Change in Proportion Layers'!$AL$8:$AQ$322,4,FALSE)+M43</f>
        <v>-2206062</v>
      </c>
      <c r="T43" s="220">
        <f>+VLOOKUP(A43,'Change in Proportion Layers'!$AL$8:$AQ$322,5,FALSE)+N43</f>
        <v>-440928</v>
      </c>
      <c r="U43" s="220">
        <f>+VLOOKUP(A43,'Change in Proportion Layers'!$AL$8:$AQ$322,6,FALSE)+O43+1</f>
        <v>-155518</v>
      </c>
      <c r="W43" s="220">
        <f>('OPEB Amounts_Report'!H43-'OPEB Amounts_Report'!M43)</f>
        <v>-8278610</v>
      </c>
      <c r="X43" s="245">
        <f t="shared" si="5"/>
        <v>0</v>
      </c>
    </row>
    <row r="44" spans="1:24" s="8" customFormat="1">
      <c r="A44" s="209">
        <v>2123</v>
      </c>
      <c r="B44" s="210" t="s">
        <v>33</v>
      </c>
      <c r="C44" s="219">
        <f t="shared" si="0"/>
        <v>-4491298</v>
      </c>
      <c r="D44" s="219">
        <f t="shared" si="1"/>
        <v>-6856538</v>
      </c>
      <c r="E44" s="219">
        <f t="shared" si="2"/>
        <v>-4589800</v>
      </c>
      <c r="F44" s="219">
        <f t="shared" si="3"/>
        <v>-1991187</v>
      </c>
      <c r="G44" s="219">
        <f t="shared" si="4"/>
        <v>960809</v>
      </c>
      <c r="I44" s="49"/>
      <c r="K44" s="220">
        <f>ROUND(VLOOKUP($A44,'Contribution Allocation_Report'!$A$9:$D$314,4,FALSE)*$K$326,0)</f>
        <v>-4401941</v>
      </c>
      <c r="L44" s="220">
        <f>ROUND(VLOOKUP($A44,'Contribution Allocation_Report'!$A$9:$D$314,4,FALSE)*$L$326,0)</f>
        <v>-6037248</v>
      </c>
      <c r="M44" s="220">
        <f>ROUND(VLOOKUP($A44,'Contribution Allocation_Report'!$A$9:$D$314,4,FALSE)*$M$326,0)</f>
        <v>-3947345</v>
      </c>
      <c r="N44" s="220">
        <f>ROUND(VLOOKUP($A44,'Contribution Allocation_Report'!$A$9:$D$314,4,FALSE)*$N$326,0)</f>
        <v>-1009675</v>
      </c>
      <c r="O44" s="220">
        <f>ROUND(VLOOKUP($A44,'Contribution Allocation_Report'!$A$9:$D$314,4,FALSE)*$O$326,0)-1</f>
        <v>434634</v>
      </c>
      <c r="Q44" s="220">
        <f>+VLOOKUP(A44,'Change in Proportion Layers'!$AL$8:$AQ$322,2,FALSE)+K44</f>
        <v>-4491298</v>
      </c>
      <c r="R44" s="220">
        <f>+VLOOKUP(A44,'Change in Proportion Layers'!$AL$8:$AQ$322,3,FALSE)+L44</f>
        <v>-6856538</v>
      </c>
      <c r="S44" s="220">
        <f>+VLOOKUP(A44,'Change in Proportion Layers'!$AL$8:$AQ$322,4,FALSE)+M44</f>
        <v>-4589800</v>
      </c>
      <c r="T44" s="220">
        <f>+VLOOKUP(A44,'Change in Proportion Layers'!$AL$8:$AQ$322,5,FALSE)+N44</f>
        <v>-1991187</v>
      </c>
      <c r="U44" s="220">
        <f>+VLOOKUP(A44,'Change in Proportion Layers'!$AL$8:$AQ$322,6,FALSE)+O44</f>
        <v>960809</v>
      </c>
      <c r="W44" s="220">
        <f>('OPEB Amounts_Report'!H44-'OPEB Amounts_Report'!M44)</f>
        <v>-16968014</v>
      </c>
      <c r="X44" s="245">
        <f t="shared" si="5"/>
        <v>0</v>
      </c>
    </row>
    <row r="45" spans="1:24" s="8" customFormat="1">
      <c r="A45" s="211">
        <v>2150</v>
      </c>
      <c r="B45" s="212" t="s">
        <v>34</v>
      </c>
      <c r="C45" s="46">
        <f t="shared" si="0"/>
        <v>126675</v>
      </c>
      <c r="D45" s="46">
        <f t="shared" si="1"/>
        <v>-21974</v>
      </c>
      <c r="E45" s="46">
        <f t="shared" si="2"/>
        <v>-24165</v>
      </c>
      <c r="F45" s="46">
        <f t="shared" si="3"/>
        <v>219951</v>
      </c>
      <c r="G45" s="46">
        <f t="shared" si="4"/>
        <v>189512</v>
      </c>
      <c r="I45" s="49"/>
      <c r="K45" s="220">
        <f>ROUND(VLOOKUP($A45,'Contribution Allocation_Report'!$A$9:$D$314,4,FALSE)*$K$326,0)</f>
        <v>-370968</v>
      </c>
      <c r="L45" s="220">
        <f>ROUND(VLOOKUP($A45,'Contribution Allocation_Report'!$A$9:$D$314,4,FALSE)*$L$326,0)</f>
        <v>-508782</v>
      </c>
      <c r="M45" s="220">
        <f>ROUND(VLOOKUP($A45,'Contribution Allocation_Report'!$A$9:$D$314,4,FALSE)*$M$326,0)</f>
        <v>-332658</v>
      </c>
      <c r="N45" s="220">
        <f>ROUND(VLOOKUP($A45,'Contribution Allocation_Report'!$A$9:$D$314,4,FALSE)*$N$326,0)</f>
        <v>-85089</v>
      </c>
      <c r="O45" s="220">
        <f>ROUND(VLOOKUP($A45,'Contribution Allocation_Report'!$A$9:$D$314,4,FALSE)*$O$326,0)</f>
        <v>36628</v>
      </c>
      <c r="Q45" s="220">
        <f>+VLOOKUP(A45,'Change in Proportion Layers'!$AL$8:$AQ$322,2,FALSE)+K45</f>
        <v>126675</v>
      </c>
      <c r="R45" s="220">
        <f>+VLOOKUP(A45,'Change in Proportion Layers'!$AL$8:$AQ$322,3,FALSE)+L45</f>
        <v>-21974</v>
      </c>
      <c r="S45" s="220">
        <f>+VLOOKUP(A45,'Change in Proportion Layers'!$AL$8:$AQ$322,4,FALSE)+M45</f>
        <v>-24165</v>
      </c>
      <c r="T45" s="220">
        <f>+VLOOKUP(A45,'Change in Proportion Layers'!$AL$8:$AQ$322,5,FALSE)+N45</f>
        <v>219951</v>
      </c>
      <c r="U45" s="220">
        <f>+VLOOKUP(A45,'Change in Proportion Layers'!$AL$8:$AQ$322,6,FALSE)+O45</f>
        <v>189512</v>
      </c>
      <c r="W45" s="220">
        <f>('OPEB Amounts_Report'!H45-'OPEB Amounts_Report'!M45)</f>
        <v>489999</v>
      </c>
      <c r="X45" s="245">
        <f t="shared" si="5"/>
        <v>0</v>
      </c>
    </row>
    <row r="46" spans="1:24" s="8" customFormat="1">
      <c r="A46" s="209">
        <v>2336</v>
      </c>
      <c r="B46" s="210" t="s">
        <v>35</v>
      </c>
      <c r="C46" s="219">
        <f t="shared" si="0"/>
        <v>-67027</v>
      </c>
      <c r="D46" s="219">
        <f t="shared" si="1"/>
        <v>-100127</v>
      </c>
      <c r="E46" s="219">
        <f t="shared" si="2"/>
        <v>-53768</v>
      </c>
      <c r="F46" s="219">
        <f t="shared" si="3"/>
        <v>-5507</v>
      </c>
      <c r="G46" s="219">
        <f t="shared" si="4"/>
        <v>6054</v>
      </c>
      <c r="I46" s="49"/>
      <c r="K46" s="220">
        <f>ROUND(VLOOKUP($A46,'Contribution Allocation_Report'!$A$9:$D$314,4,FALSE)*$K$326,0)</f>
        <v>-69857</v>
      </c>
      <c r="L46" s="220">
        <f>ROUND(VLOOKUP($A46,'Contribution Allocation_Report'!$A$9:$D$314,4,FALSE)*$L$326,0)</f>
        <v>-95809</v>
      </c>
      <c r="M46" s="220">
        <f>ROUND(VLOOKUP($A46,'Contribution Allocation_Report'!$A$9:$D$314,4,FALSE)*$M$326,0)</f>
        <v>-62643</v>
      </c>
      <c r="N46" s="220">
        <f>ROUND(VLOOKUP($A46,'Contribution Allocation_Report'!$A$9:$D$314,4,FALSE)*$N$326,0)</f>
        <v>-16023</v>
      </c>
      <c r="O46" s="220">
        <f>ROUND(VLOOKUP($A46,'Contribution Allocation_Report'!$A$9:$D$314,4,FALSE)*$O$326,0)</f>
        <v>6897</v>
      </c>
      <c r="Q46" s="220">
        <f>+VLOOKUP(A46,'Change in Proportion Layers'!$AL$8:$AQ$322,2,FALSE)+K46</f>
        <v>-67027</v>
      </c>
      <c r="R46" s="220">
        <f>+VLOOKUP(A46,'Change in Proportion Layers'!$AL$8:$AQ$322,3,FALSE)+L46</f>
        <v>-100127</v>
      </c>
      <c r="S46" s="220">
        <f>+VLOOKUP(A46,'Change in Proportion Layers'!$AL$8:$AQ$322,4,FALSE)+M46</f>
        <v>-53768</v>
      </c>
      <c r="T46" s="220">
        <f>+VLOOKUP(A46,'Change in Proportion Layers'!$AL$8:$AQ$322,5,FALSE)+N46</f>
        <v>-5507</v>
      </c>
      <c r="U46" s="220">
        <f>+VLOOKUP(A46,'Change in Proportion Layers'!$AL$8:$AQ$322,6,FALSE)+O46+2</f>
        <v>6054</v>
      </c>
      <c r="W46" s="220">
        <f>('OPEB Amounts_Report'!H46-'OPEB Amounts_Report'!M46)</f>
        <v>-220375</v>
      </c>
      <c r="X46" s="245">
        <f t="shared" si="5"/>
        <v>0</v>
      </c>
    </row>
    <row r="47" spans="1:24" s="8" customFormat="1">
      <c r="A47" s="211">
        <v>17126</v>
      </c>
      <c r="B47" s="212" t="s">
        <v>36</v>
      </c>
      <c r="C47" s="46">
        <f t="shared" si="0"/>
        <v>-188155</v>
      </c>
      <c r="D47" s="46">
        <f t="shared" si="1"/>
        <v>-280098</v>
      </c>
      <c r="E47" s="46">
        <f t="shared" si="2"/>
        <v>-161897</v>
      </c>
      <c r="F47" s="46">
        <f t="shared" si="3"/>
        <v>-40339</v>
      </c>
      <c r="G47" s="46">
        <f t="shared" si="4"/>
        <v>-3848</v>
      </c>
      <c r="I47" s="49"/>
      <c r="K47" s="220">
        <f>ROUND(VLOOKUP($A47,'Contribution Allocation_Report'!$A$9:$D$314,4,FALSE)*$K$326,0)</f>
        <v>-191685</v>
      </c>
      <c r="L47" s="220">
        <f>ROUND(VLOOKUP($A47,'Contribution Allocation_Report'!$A$9:$D$314,4,FALSE)*$L$326,0)</f>
        <v>-262896</v>
      </c>
      <c r="M47" s="220">
        <f>ROUND(VLOOKUP($A47,'Contribution Allocation_Report'!$A$9:$D$314,4,FALSE)*$M$326,0)</f>
        <v>-171889</v>
      </c>
      <c r="N47" s="220">
        <f>ROUND(VLOOKUP($A47,'Contribution Allocation_Report'!$A$9:$D$314,4,FALSE)*$N$326,0)</f>
        <v>-43967</v>
      </c>
      <c r="O47" s="220">
        <f>ROUND(VLOOKUP($A47,'Contribution Allocation_Report'!$A$9:$D$314,4,FALSE)*$O$326,0)</f>
        <v>18926</v>
      </c>
      <c r="Q47" s="220">
        <f>+VLOOKUP(A47,'Change in Proportion Layers'!$AL$8:$AQ$322,2,FALSE)+K47</f>
        <v>-188155</v>
      </c>
      <c r="R47" s="220">
        <f>+VLOOKUP(A47,'Change in Proportion Layers'!$AL$8:$AQ$322,3,FALSE)+L47</f>
        <v>-280098</v>
      </c>
      <c r="S47" s="220">
        <f>+VLOOKUP(A47,'Change in Proportion Layers'!$AL$8:$AQ$322,4,FALSE)+M47</f>
        <v>-161897</v>
      </c>
      <c r="T47" s="220">
        <f>+VLOOKUP(A47,'Change in Proportion Layers'!$AL$8:$AQ$322,5,FALSE)+N47</f>
        <v>-40339</v>
      </c>
      <c r="U47" s="220">
        <f>+VLOOKUP(A47,'Change in Proportion Layers'!$AL$8:$AQ$322,6,FALSE)+O47</f>
        <v>-3848</v>
      </c>
      <c r="W47" s="220">
        <f>('OPEB Amounts_Report'!H47-'OPEB Amounts_Report'!M47)</f>
        <v>-674337</v>
      </c>
      <c r="X47" s="245">
        <f t="shared" si="5"/>
        <v>0</v>
      </c>
    </row>
    <row r="48" spans="1:24" s="8" customFormat="1">
      <c r="A48" s="209">
        <v>3030</v>
      </c>
      <c r="B48" s="210" t="s">
        <v>37</v>
      </c>
      <c r="C48" s="219">
        <f t="shared" si="0"/>
        <v>-894837</v>
      </c>
      <c r="D48" s="219">
        <f t="shared" si="1"/>
        <v>-1012026</v>
      </c>
      <c r="E48" s="219">
        <f t="shared" si="2"/>
        <v>-674918</v>
      </c>
      <c r="F48" s="219">
        <f t="shared" si="3"/>
        <v>-210661</v>
      </c>
      <c r="G48" s="219">
        <f t="shared" si="4"/>
        <v>39169</v>
      </c>
      <c r="I48" s="49"/>
      <c r="K48" s="220">
        <f>ROUND(VLOOKUP($A48,'Contribution Allocation_Report'!$A$9:$D$314,4,FALSE)*$K$326,0)</f>
        <v>-494014</v>
      </c>
      <c r="L48" s="220">
        <f>ROUND(VLOOKUP($A48,'Contribution Allocation_Report'!$A$9:$D$314,4,FALSE)*$L$326,0)</f>
        <v>-677538</v>
      </c>
      <c r="M48" s="220">
        <f>ROUND(VLOOKUP($A48,'Contribution Allocation_Report'!$A$9:$D$314,4,FALSE)*$M$326,0)</f>
        <v>-442996</v>
      </c>
      <c r="N48" s="220">
        <f>ROUND(VLOOKUP($A48,'Contribution Allocation_Report'!$A$9:$D$314,4,FALSE)*$N$326,0)+1</f>
        <v>-113311</v>
      </c>
      <c r="O48" s="220">
        <f>ROUND(VLOOKUP($A48,'Contribution Allocation_Report'!$A$9:$D$314,4,FALSE)*$O$326,0)</f>
        <v>48777</v>
      </c>
      <c r="Q48" s="220">
        <f>+VLOOKUP(A48,'Change in Proportion Layers'!$AL$8:$AQ$322,2,FALSE)+K48</f>
        <v>-894837</v>
      </c>
      <c r="R48" s="220">
        <f>+VLOOKUP(A48,'Change in Proportion Layers'!$AL$8:$AQ$322,3,FALSE)+L48</f>
        <v>-1012026</v>
      </c>
      <c r="S48" s="220">
        <f>+VLOOKUP(A48,'Change in Proportion Layers'!$AL$8:$AQ$322,4,FALSE)+M48</f>
        <v>-674918</v>
      </c>
      <c r="T48" s="220">
        <f>+VLOOKUP(A48,'Change in Proportion Layers'!$AL$8:$AQ$322,5,FALSE)+N48</f>
        <v>-210661</v>
      </c>
      <c r="U48" s="220">
        <f>+VLOOKUP(A48,'Change in Proportion Layers'!$AL$8:$AQ$322,6,FALSE)+O48</f>
        <v>39169</v>
      </c>
      <c r="W48" s="220">
        <f>('OPEB Amounts_Report'!H48-'OPEB Amounts_Report'!M48)</f>
        <v>-2753273</v>
      </c>
      <c r="X48" s="245">
        <f t="shared" si="5"/>
        <v>0</v>
      </c>
    </row>
    <row r="49" spans="1:24" s="8" customFormat="1">
      <c r="A49" s="211">
        <v>2353</v>
      </c>
      <c r="B49" s="212" t="s">
        <v>38</v>
      </c>
      <c r="C49" s="46">
        <f t="shared" si="0"/>
        <v>-53237</v>
      </c>
      <c r="D49" s="46">
        <f t="shared" si="1"/>
        <v>-130502</v>
      </c>
      <c r="E49" s="46">
        <f t="shared" si="2"/>
        <v>24455</v>
      </c>
      <c r="F49" s="46">
        <f t="shared" si="3"/>
        <v>23570</v>
      </c>
      <c r="G49" s="46">
        <f t="shared" si="4"/>
        <v>76182</v>
      </c>
      <c r="I49" s="49"/>
      <c r="K49" s="220">
        <f>ROUND(VLOOKUP($A49,'Contribution Allocation_Report'!$A$9:$D$314,4,FALSE)*$K$326,0)</f>
        <v>-214586</v>
      </c>
      <c r="L49" s="220">
        <f>ROUND(VLOOKUP($A49,'Contribution Allocation_Report'!$A$9:$D$314,4,FALSE)*$L$326,0)</f>
        <v>-294303</v>
      </c>
      <c r="M49" s="220">
        <f>ROUND(VLOOKUP($A49,'Contribution Allocation_Report'!$A$9:$D$314,4,FALSE)*$M$326,0)</f>
        <v>-192425</v>
      </c>
      <c r="N49" s="220">
        <f>ROUND(VLOOKUP($A49,'Contribution Allocation_Report'!$A$9:$D$314,4,FALSE)*$N$326,0)</f>
        <v>-49220</v>
      </c>
      <c r="O49" s="220">
        <f>ROUND(VLOOKUP($A49,'Contribution Allocation_Report'!$A$9:$D$314,4,FALSE)*$O$326,0)</f>
        <v>21188</v>
      </c>
      <c r="Q49" s="220">
        <f>+VLOOKUP(A49,'Change in Proportion Layers'!$AL$8:$AQ$322,2,FALSE)+K49</f>
        <v>-53237</v>
      </c>
      <c r="R49" s="220">
        <f>+VLOOKUP(A49,'Change in Proportion Layers'!$AL$8:$AQ$322,3,FALSE)+L49</f>
        <v>-130502</v>
      </c>
      <c r="S49" s="220">
        <f>+VLOOKUP(A49,'Change in Proportion Layers'!$AL$8:$AQ$322,4,FALSE)+M49</f>
        <v>24455</v>
      </c>
      <c r="T49" s="220">
        <f>+VLOOKUP(A49,'Change in Proportion Layers'!$AL$8:$AQ$322,5,FALSE)+N49</f>
        <v>23570</v>
      </c>
      <c r="U49" s="220">
        <f>+VLOOKUP(A49,'Change in Proportion Layers'!$AL$8:$AQ$322,6,FALSE)+O49</f>
        <v>76182</v>
      </c>
      <c r="W49" s="220">
        <f>('OPEB Amounts_Report'!H49-'OPEB Amounts_Report'!M49)</f>
        <v>-59532</v>
      </c>
      <c r="X49" s="245">
        <f t="shared" si="5"/>
        <v>0</v>
      </c>
    </row>
    <row r="50" spans="1:24" s="8" customFormat="1">
      <c r="A50" s="209">
        <v>3040</v>
      </c>
      <c r="B50" s="210" t="s">
        <v>39</v>
      </c>
      <c r="C50" s="219">
        <f t="shared" si="0"/>
        <v>-240437</v>
      </c>
      <c r="D50" s="219">
        <f t="shared" si="1"/>
        <v>-288757</v>
      </c>
      <c r="E50" s="219">
        <f t="shared" si="2"/>
        <v>-165069</v>
      </c>
      <c r="F50" s="219">
        <f t="shared" si="3"/>
        <v>-18920</v>
      </c>
      <c r="G50" s="219">
        <f t="shared" si="4"/>
        <v>63844</v>
      </c>
      <c r="I50" s="49"/>
      <c r="K50" s="220">
        <f>ROUND(VLOOKUP($A50,'Contribution Allocation_Report'!$A$9:$D$314,4,FALSE)*$K$326,0)</f>
        <v>-229693</v>
      </c>
      <c r="L50" s="220">
        <f>ROUND(VLOOKUP($A50,'Contribution Allocation_Report'!$A$9:$D$314,4,FALSE)*$L$326,0)</f>
        <v>-315024</v>
      </c>
      <c r="M50" s="220">
        <f>ROUND(VLOOKUP($A50,'Contribution Allocation_Report'!$A$9:$D$314,4,FALSE)*$M$326,0)</f>
        <v>-205972</v>
      </c>
      <c r="N50" s="220">
        <f>ROUND(VLOOKUP($A50,'Contribution Allocation_Report'!$A$9:$D$314,4,FALSE)*$N$326,0)</f>
        <v>-52685</v>
      </c>
      <c r="O50" s="220">
        <f>ROUND(VLOOKUP($A50,'Contribution Allocation_Report'!$A$9:$D$314,4,FALSE)*$O$326,0)</f>
        <v>22679</v>
      </c>
      <c r="Q50" s="220">
        <f>+VLOOKUP(A50,'Change in Proportion Layers'!$AL$8:$AQ$322,2,FALSE)+K50</f>
        <v>-240437</v>
      </c>
      <c r="R50" s="220">
        <f>+VLOOKUP(A50,'Change in Proportion Layers'!$AL$8:$AQ$322,3,FALSE)+L50</f>
        <v>-288757</v>
      </c>
      <c r="S50" s="220">
        <f>+VLOOKUP(A50,'Change in Proportion Layers'!$AL$8:$AQ$322,4,FALSE)+M50</f>
        <v>-165069</v>
      </c>
      <c r="T50" s="220">
        <f>+VLOOKUP(A50,'Change in Proportion Layers'!$AL$8:$AQ$322,5,FALSE)+N50</f>
        <v>-18920</v>
      </c>
      <c r="U50" s="220">
        <f>+VLOOKUP(A50,'Change in Proportion Layers'!$AL$8:$AQ$322,6,FALSE)+O50</f>
        <v>63844</v>
      </c>
      <c r="W50" s="220">
        <f>('OPEB Amounts_Report'!H50-'OPEB Amounts_Report'!M50)</f>
        <v>-649339</v>
      </c>
      <c r="X50" s="245">
        <f t="shared" si="5"/>
        <v>0</v>
      </c>
    </row>
    <row r="51" spans="1:24" s="8" customFormat="1">
      <c r="A51" s="211">
        <v>2367</v>
      </c>
      <c r="B51" s="212" t="s">
        <v>40</v>
      </c>
      <c r="C51" s="46">
        <f t="shared" si="0"/>
        <v>-60720</v>
      </c>
      <c r="D51" s="46">
        <f t="shared" si="1"/>
        <v>-121174</v>
      </c>
      <c r="E51" s="46">
        <f t="shared" si="2"/>
        <v>-71424</v>
      </c>
      <c r="F51" s="46">
        <f t="shared" si="3"/>
        <v>24344</v>
      </c>
      <c r="G51" s="46">
        <f t="shared" si="4"/>
        <v>45785</v>
      </c>
      <c r="I51" s="49"/>
      <c r="K51" s="220">
        <f>ROUND(VLOOKUP($A51,'Contribution Allocation_Report'!$A$9:$D$314,4,FALSE)*$K$326,0)</f>
        <v>-184140</v>
      </c>
      <c r="L51" s="220">
        <f>ROUND(VLOOKUP($A51,'Contribution Allocation_Report'!$A$9:$D$314,4,FALSE)*$L$326,0)</f>
        <v>-252548</v>
      </c>
      <c r="M51" s="220">
        <f>ROUND(VLOOKUP($A51,'Contribution Allocation_Report'!$A$9:$D$314,4,FALSE)*$M$326,0)</f>
        <v>-165124</v>
      </c>
      <c r="N51" s="220">
        <f>ROUND(VLOOKUP($A51,'Contribution Allocation_Report'!$A$9:$D$314,4,FALSE)*$N$326,0)</f>
        <v>-42236</v>
      </c>
      <c r="O51" s="220">
        <f>ROUND(VLOOKUP($A51,'Contribution Allocation_Report'!$A$9:$D$314,4,FALSE)*$O$326,0)</f>
        <v>18181</v>
      </c>
      <c r="Q51" s="220">
        <f>+VLOOKUP(A51,'Change in Proportion Layers'!$AL$8:$AQ$322,2,FALSE)+K51</f>
        <v>-60720</v>
      </c>
      <c r="R51" s="220">
        <f>+VLOOKUP(A51,'Change in Proportion Layers'!$AL$8:$AQ$322,3,FALSE)+L51</f>
        <v>-121174</v>
      </c>
      <c r="S51" s="220">
        <f>+VLOOKUP(A51,'Change in Proportion Layers'!$AL$8:$AQ$322,4,FALSE)+M51</f>
        <v>-71424</v>
      </c>
      <c r="T51" s="220">
        <f>+VLOOKUP(A51,'Change in Proportion Layers'!$AL$8:$AQ$322,5,FALSE)+N51</f>
        <v>24344</v>
      </c>
      <c r="U51" s="220">
        <f>+VLOOKUP(A51,'Change in Proportion Layers'!$AL$8:$AQ$322,6,FALSE)+O51+1</f>
        <v>45785</v>
      </c>
      <c r="W51" s="220">
        <f>('OPEB Amounts_Report'!H51-'OPEB Amounts_Report'!M51)</f>
        <v>-183189</v>
      </c>
      <c r="X51" s="245">
        <f t="shared" si="5"/>
        <v>0</v>
      </c>
    </row>
    <row r="52" spans="1:24" s="8" customFormat="1">
      <c r="A52" s="209">
        <v>9027</v>
      </c>
      <c r="B52" s="210" t="s">
        <v>41</v>
      </c>
      <c r="C52" s="219">
        <f t="shared" si="0"/>
        <v>-184880</v>
      </c>
      <c r="D52" s="219">
        <f t="shared" si="1"/>
        <v>-201240</v>
      </c>
      <c r="E52" s="219">
        <f t="shared" si="2"/>
        <v>-197065</v>
      </c>
      <c r="F52" s="219">
        <f t="shared" si="3"/>
        <v>-74212</v>
      </c>
      <c r="G52" s="219">
        <f t="shared" si="4"/>
        <v>-7901</v>
      </c>
      <c r="I52" s="49"/>
      <c r="K52" s="220">
        <f>ROUND(VLOOKUP($A52,'Contribution Allocation_Report'!$A$9:$D$314,4,FALSE)*$K$326,0)</f>
        <v>-195520</v>
      </c>
      <c r="L52" s="220">
        <f>ROUND(VLOOKUP($A52,'Contribution Allocation_Report'!$A$9:$D$314,4,FALSE)*$L$326,0)</f>
        <v>-268155</v>
      </c>
      <c r="M52" s="220">
        <f>ROUND(VLOOKUP($A52,'Contribution Allocation_Report'!$A$9:$D$314,4,FALSE)*$M$326,0)</f>
        <v>-175328</v>
      </c>
      <c r="N52" s="220">
        <f>ROUND(VLOOKUP($A52,'Contribution Allocation_Report'!$A$9:$D$314,4,FALSE)*$N$326,0)</f>
        <v>-44847</v>
      </c>
      <c r="O52" s="220">
        <f>ROUND(VLOOKUP($A52,'Contribution Allocation_Report'!$A$9:$D$314,4,FALSE)*$O$326,0)</f>
        <v>19305</v>
      </c>
      <c r="Q52" s="220">
        <f>+VLOOKUP(A52,'Change in Proportion Layers'!$AL$8:$AQ$322,2,FALSE)+K52</f>
        <v>-184880</v>
      </c>
      <c r="R52" s="220">
        <f>+VLOOKUP(A52,'Change in Proportion Layers'!$AL$8:$AQ$322,3,FALSE)+L52</f>
        <v>-201240</v>
      </c>
      <c r="S52" s="220">
        <f>+VLOOKUP(A52,'Change in Proportion Layers'!$AL$8:$AQ$322,4,FALSE)+M52</f>
        <v>-197065</v>
      </c>
      <c r="T52" s="220">
        <f>+VLOOKUP(A52,'Change in Proportion Layers'!$AL$8:$AQ$322,5,FALSE)+N52</f>
        <v>-74212</v>
      </c>
      <c r="U52" s="220">
        <f>+VLOOKUP(A52,'Change in Proportion Layers'!$AL$8:$AQ$322,6,FALSE)+O52</f>
        <v>-7901</v>
      </c>
      <c r="W52" s="220">
        <f>('OPEB Amounts_Report'!H52-'OPEB Amounts_Report'!M52)</f>
        <v>-665298</v>
      </c>
      <c r="X52" s="245">
        <f t="shared" si="5"/>
        <v>0</v>
      </c>
    </row>
    <row r="53" spans="1:24" s="8" customFormat="1">
      <c r="A53" s="211">
        <v>2010</v>
      </c>
      <c r="B53" s="212" t="s">
        <v>42</v>
      </c>
      <c r="C53" s="46">
        <f t="shared" si="0"/>
        <v>-895321</v>
      </c>
      <c r="D53" s="46">
        <f t="shared" si="1"/>
        <v>-966128</v>
      </c>
      <c r="E53" s="46">
        <f t="shared" si="2"/>
        <v>-675401</v>
      </c>
      <c r="F53" s="46">
        <f t="shared" si="3"/>
        <v>-225042</v>
      </c>
      <c r="G53" s="46">
        <f t="shared" si="4"/>
        <v>-12077</v>
      </c>
      <c r="I53" s="49"/>
      <c r="K53" s="220">
        <f>ROUND(VLOOKUP($A53,'Contribution Allocation_Report'!$A$9:$D$314,4,FALSE)*$K$326,0)</f>
        <v>-731585</v>
      </c>
      <c r="L53" s="220">
        <f>ROUND(VLOOKUP($A53,'Contribution Allocation_Report'!$A$9:$D$314,4,FALSE)*$L$326,0)</f>
        <v>-1003367</v>
      </c>
      <c r="M53" s="220">
        <f>ROUND(VLOOKUP($A53,'Contribution Allocation_Report'!$A$9:$D$314,4,FALSE)*$M$326,0)</f>
        <v>-656033</v>
      </c>
      <c r="N53" s="220">
        <f>ROUND(VLOOKUP($A53,'Contribution Allocation_Report'!$A$9:$D$314,4,FALSE)*$N$326,0)</f>
        <v>-167804</v>
      </c>
      <c r="O53" s="220">
        <f>ROUND(VLOOKUP($A53,'Contribution Allocation_Report'!$A$9:$D$314,4,FALSE)*$O$326,0)</f>
        <v>72235</v>
      </c>
      <c r="Q53" s="220">
        <f>+VLOOKUP(A53,'Change in Proportion Layers'!$AL$8:$AQ$322,2,FALSE)+K53</f>
        <v>-895321</v>
      </c>
      <c r="R53" s="220">
        <f>+VLOOKUP(A53,'Change in Proportion Layers'!$AL$8:$AQ$322,3,FALSE)+L53</f>
        <v>-966128</v>
      </c>
      <c r="S53" s="220">
        <f>+VLOOKUP(A53,'Change in Proportion Layers'!$AL$8:$AQ$322,4,FALSE)+M53</f>
        <v>-675401</v>
      </c>
      <c r="T53" s="220">
        <f>+VLOOKUP(A53,'Change in Proportion Layers'!$AL$8:$AQ$322,5,FALSE)+N53</f>
        <v>-225042</v>
      </c>
      <c r="U53" s="220">
        <f>+VLOOKUP(A53,'Change in Proportion Layers'!$AL$8:$AQ$322,6,FALSE)+O53</f>
        <v>-12077</v>
      </c>
      <c r="W53" s="220">
        <f>('OPEB Amounts_Report'!H53-'OPEB Amounts_Report'!M53)</f>
        <v>-2773969</v>
      </c>
      <c r="X53" s="245">
        <f t="shared" si="5"/>
        <v>0</v>
      </c>
    </row>
    <row r="54" spans="1:24" s="8" customFormat="1">
      <c r="A54" s="209">
        <v>2020</v>
      </c>
      <c r="B54" s="210" t="s">
        <v>43</v>
      </c>
      <c r="C54" s="219">
        <f t="shared" si="0"/>
        <v>-21822424</v>
      </c>
      <c r="D54" s="219">
        <f t="shared" si="1"/>
        <v>-27199635</v>
      </c>
      <c r="E54" s="219">
        <f t="shared" si="2"/>
        <v>-18950517</v>
      </c>
      <c r="F54" s="219">
        <f t="shared" si="3"/>
        <v>-5925841</v>
      </c>
      <c r="G54" s="219">
        <f t="shared" si="4"/>
        <v>1358472</v>
      </c>
      <c r="I54" s="49"/>
      <c r="K54" s="220">
        <f>ROUND(VLOOKUP($A54,'Contribution Allocation_Report'!$A$9:$D$314,4,FALSE)*$K$326,0)</f>
        <v>-18156898</v>
      </c>
      <c r="L54" s="220">
        <f>ROUND(VLOOKUP($A54,'Contribution Allocation_Report'!$A$9:$D$314,4,FALSE)*$L$326,0)</f>
        <v>-24902127</v>
      </c>
      <c r="M54" s="220">
        <f>ROUND(VLOOKUP($A54,'Contribution Allocation_Report'!$A$9:$D$314,4,FALSE)*$M$326,0)</f>
        <v>-16281805</v>
      </c>
      <c r="N54" s="220">
        <f>ROUND(VLOOKUP($A54,'Contribution Allocation_Report'!$A$9:$D$314,4,FALSE)*$N$326,0)</f>
        <v>-4164656</v>
      </c>
      <c r="O54" s="220">
        <f>ROUND(VLOOKUP($A54,'Contribution Allocation_Report'!$A$9:$D$314,4,FALSE)*$O$326,0)</f>
        <v>1792758</v>
      </c>
      <c r="Q54" s="220">
        <f>+VLOOKUP(A54,'Change in Proportion Layers'!$AL$8:$AQ$322,2,FALSE)+K54</f>
        <v>-21822424</v>
      </c>
      <c r="R54" s="220">
        <f>+VLOOKUP(A54,'Change in Proportion Layers'!$AL$8:$AQ$322,3,FALSE)+L54</f>
        <v>-27199635</v>
      </c>
      <c r="S54" s="220">
        <f>+VLOOKUP(A54,'Change in Proportion Layers'!$AL$8:$AQ$322,4,FALSE)+M54</f>
        <v>-18950517</v>
      </c>
      <c r="T54" s="220">
        <f>+VLOOKUP(A54,'Change in Proportion Layers'!$AL$8:$AQ$322,5,FALSE)+N54</f>
        <v>-5925841</v>
      </c>
      <c r="U54" s="220">
        <f>+VLOOKUP(A54,'Change in Proportion Layers'!$AL$8:$AQ$322,6,FALSE)+O54</f>
        <v>1358472</v>
      </c>
      <c r="W54" s="220">
        <f>('OPEB Amounts_Report'!H54-'OPEB Amounts_Report'!M54)</f>
        <v>-72539945</v>
      </c>
      <c r="X54" s="245">
        <f t="shared" si="5"/>
        <v>0</v>
      </c>
    </row>
    <row r="55" spans="1:24" s="8" customFormat="1">
      <c r="A55" s="211">
        <v>2040</v>
      </c>
      <c r="B55" s="212" t="s">
        <v>44</v>
      </c>
      <c r="C55" s="46">
        <f t="shared" si="0"/>
        <v>-292673</v>
      </c>
      <c r="D55" s="46">
        <f t="shared" si="1"/>
        <v>-333859</v>
      </c>
      <c r="E55" s="46">
        <f t="shared" si="2"/>
        <v>-215023</v>
      </c>
      <c r="F55" s="46">
        <f t="shared" si="3"/>
        <v>-86857</v>
      </c>
      <c r="G55" s="46">
        <f t="shared" si="4"/>
        <v>-5699</v>
      </c>
      <c r="I55" s="49"/>
      <c r="K55" s="220">
        <f>ROUND(VLOOKUP($A55,'Contribution Allocation_Report'!$A$9:$D$314,4,FALSE)*$K$326,0)</f>
        <v>-246877</v>
      </c>
      <c r="L55" s="220">
        <f>ROUND(VLOOKUP($A55,'Contribution Allocation_Report'!$A$9:$D$314,4,FALSE)*$L$326,0)</f>
        <v>-338592</v>
      </c>
      <c r="M55" s="220">
        <f>ROUND(VLOOKUP($A55,'Contribution Allocation_Report'!$A$9:$D$314,4,FALSE)*$M$326,0)</f>
        <v>-221382</v>
      </c>
      <c r="N55" s="220">
        <f>ROUND(VLOOKUP($A55,'Contribution Allocation_Report'!$A$9:$D$314,4,FALSE)*$N$326,0)</f>
        <v>-56626</v>
      </c>
      <c r="O55" s="220">
        <f>ROUND(VLOOKUP($A55,'Contribution Allocation_Report'!$A$9:$D$314,4,FALSE)*$O$326,0)</f>
        <v>24376</v>
      </c>
      <c r="Q55" s="220">
        <f>+VLOOKUP(A55,'Change in Proportion Layers'!$AL$8:$AQ$322,2,FALSE)+K55</f>
        <v>-292673</v>
      </c>
      <c r="R55" s="220">
        <f>+VLOOKUP(A55,'Change in Proportion Layers'!$AL$8:$AQ$322,3,FALSE)+L55</f>
        <v>-333859</v>
      </c>
      <c r="S55" s="220">
        <f>+VLOOKUP(A55,'Change in Proportion Layers'!$AL$8:$AQ$322,4,FALSE)+M55</f>
        <v>-215023</v>
      </c>
      <c r="T55" s="220">
        <f>+VLOOKUP(A55,'Change in Proportion Layers'!$AL$8:$AQ$322,5,FALSE)+N55</f>
        <v>-86857</v>
      </c>
      <c r="U55" s="220">
        <f>+VLOOKUP(A55,'Change in Proportion Layers'!$AL$8:$AQ$322,6,FALSE)+O55</f>
        <v>-5699</v>
      </c>
      <c r="W55" s="220">
        <f>('OPEB Amounts_Report'!H55-'OPEB Amounts_Report'!M55)</f>
        <v>-934111</v>
      </c>
      <c r="X55" s="245">
        <f t="shared" si="5"/>
        <v>0</v>
      </c>
    </row>
    <row r="56" spans="1:24" s="8" customFormat="1">
      <c r="A56" s="209">
        <v>2060</v>
      </c>
      <c r="B56" s="210" t="s">
        <v>45</v>
      </c>
      <c r="C56" s="219">
        <f t="shared" si="0"/>
        <v>-86095</v>
      </c>
      <c r="D56" s="219">
        <f t="shared" si="1"/>
        <v>-154246</v>
      </c>
      <c r="E56" s="219">
        <f t="shared" si="2"/>
        <v>-129721</v>
      </c>
      <c r="F56" s="219">
        <f t="shared" si="3"/>
        <v>63927</v>
      </c>
      <c r="G56" s="219">
        <f t="shared" si="4"/>
        <v>177714</v>
      </c>
      <c r="I56" s="49"/>
      <c r="K56" s="220">
        <f>ROUND(VLOOKUP($A56,'Contribution Allocation_Report'!$A$9:$D$314,4,FALSE)*$K$326,0)</f>
        <v>-356339</v>
      </c>
      <c r="L56" s="220">
        <f>ROUND(VLOOKUP($A56,'Contribution Allocation_Report'!$A$9:$D$314,4,FALSE)*$L$326,0)</f>
        <v>-488717</v>
      </c>
      <c r="M56" s="220">
        <f>ROUND(VLOOKUP($A56,'Contribution Allocation_Report'!$A$9:$D$314,4,FALSE)*$M$326,0)</f>
        <v>-319539</v>
      </c>
      <c r="N56" s="220">
        <f>ROUND(VLOOKUP($A56,'Contribution Allocation_Report'!$A$9:$D$314,4,FALSE)*$N$326,0)</f>
        <v>-81734</v>
      </c>
      <c r="O56" s="220">
        <f>ROUND(VLOOKUP($A56,'Contribution Allocation_Report'!$A$9:$D$314,4,FALSE)*$O$326,0)</f>
        <v>35184</v>
      </c>
      <c r="Q56" s="220">
        <f>+VLOOKUP(A56,'Change in Proportion Layers'!$AL$8:$AQ$322,2,FALSE)+K56</f>
        <v>-86095</v>
      </c>
      <c r="R56" s="220">
        <f>+VLOOKUP(A56,'Change in Proportion Layers'!$AL$8:$AQ$322,3,FALSE)+L56</f>
        <v>-154246</v>
      </c>
      <c r="S56" s="220">
        <f>+VLOOKUP(A56,'Change in Proportion Layers'!$AL$8:$AQ$322,4,FALSE)+M56</f>
        <v>-129721</v>
      </c>
      <c r="T56" s="220">
        <f>+VLOOKUP(A56,'Change in Proportion Layers'!$AL$8:$AQ$322,5,FALSE)+N56</f>
        <v>63927</v>
      </c>
      <c r="U56" s="220">
        <f>+VLOOKUP(A56,'Change in Proportion Layers'!$AL$8:$AQ$322,6,FALSE)+O56</f>
        <v>177714</v>
      </c>
      <c r="W56" s="220">
        <f>('OPEB Amounts_Report'!H56-'OPEB Amounts_Report'!M56)</f>
        <v>-128421</v>
      </c>
      <c r="X56" s="245">
        <f t="shared" si="5"/>
        <v>0</v>
      </c>
    </row>
    <row r="57" spans="1:24" s="8" customFormat="1">
      <c r="A57" s="211">
        <v>2090</v>
      </c>
      <c r="B57" s="212" t="s">
        <v>46</v>
      </c>
      <c r="C57" s="46">
        <f t="shared" si="0"/>
        <v>-235483</v>
      </c>
      <c r="D57" s="46">
        <f t="shared" si="1"/>
        <v>-304638</v>
      </c>
      <c r="E57" s="46">
        <f t="shared" si="2"/>
        <v>-168153</v>
      </c>
      <c r="F57" s="46">
        <f t="shared" si="3"/>
        <v>-46117</v>
      </c>
      <c r="G57" s="46">
        <f t="shared" si="4"/>
        <v>14633</v>
      </c>
      <c r="I57" s="49"/>
      <c r="K57" s="220">
        <f>ROUND(VLOOKUP($A57,'Contribution Allocation_Report'!$A$9:$D$314,4,FALSE)*$K$326,0)</f>
        <v>-210922</v>
      </c>
      <c r="L57" s="220">
        <f>ROUND(VLOOKUP($A57,'Contribution Allocation_Report'!$A$9:$D$314,4,FALSE)*$L$326,0)</f>
        <v>-289278</v>
      </c>
      <c r="M57" s="220">
        <f>ROUND(VLOOKUP($A57,'Contribution Allocation_Report'!$A$9:$D$314,4,FALSE)*$M$326,0)</f>
        <v>-189139</v>
      </c>
      <c r="N57" s="220">
        <f>ROUND(VLOOKUP($A57,'Contribution Allocation_Report'!$A$9:$D$314,4,FALSE)*$N$326,0)</f>
        <v>-48379</v>
      </c>
      <c r="O57" s="220">
        <f>ROUND(VLOOKUP($A57,'Contribution Allocation_Report'!$A$9:$D$314,4,FALSE)*$O$326,0)</f>
        <v>20826</v>
      </c>
      <c r="Q57" s="220">
        <f>+VLOOKUP(A57,'Change in Proportion Layers'!$AL$8:$AQ$322,2,FALSE)+K57</f>
        <v>-235483</v>
      </c>
      <c r="R57" s="220">
        <f>+VLOOKUP(A57,'Change in Proportion Layers'!$AL$8:$AQ$322,3,FALSE)+L57</f>
        <v>-304638</v>
      </c>
      <c r="S57" s="220">
        <f>+VLOOKUP(A57,'Change in Proportion Layers'!$AL$8:$AQ$322,4,FALSE)+M57</f>
        <v>-168153</v>
      </c>
      <c r="T57" s="220">
        <f>+VLOOKUP(A57,'Change in Proportion Layers'!$AL$8:$AQ$322,5,FALSE)+N57</f>
        <v>-46117</v>
      </c>
      <c r="U57" s="220">
        <f>+VLOOKUP(A57,'Change in Proportion Layers'!$AL$8:$AQ$322,6,FALSE)+O57-1</f>
        <v>14633</v>
      </c>
      <c r="W57" s="220">
        <f>('OPEB Amounts_Report'!H57-'OPEB Amounts_Report'!M57)</f>
        <v>-739758</v>
      </c>
      <c r="X57" s="245">
        <f t="shared" si="5"/>
        <v>0</v>
      </c>
    </row>
    <row r="58" spans="1:24" s="8" customFormat="1">
      <c r="A58" s="209">
        <v>2110</v>
      </c>
      <c r="B58" s="210" t="s">
        <v>47</v>
      </c>
      <c r="C58" s="219">
        <f t="shared" si="0"/>
        <v>-2290613</v>
      </c>
      <c r="D58" s="219">
        <f t="shared" si="1"/>
        <v>-2709088</v>
      </c>
      <c r="E58" s="219">
        <f t="shared" si="2"/>
        <v>-1917480</v>
      </c>
      <c r="F58" s="219">
        <f t="shared" si="3"/>
        <v>-793412</v>
      </c>
      <c r="G58" s="219">
        <f t="shared" si="4"/>
        <v>24101</v>
      </c>
      <c r="I58" s="49"/>
      <c r="K58" s="220">
        <f>ROUND(VLOOKUP($A58,'Contribution Allocation_Report'!$A$9:$D$314,4,FALSE)*$K$326,0)</f>
        <v>-1451001</v>
      </c>
      <c r="L58" s="220">
        <f>ROUND(VLOOKUP($A58,'Contribution Allocation_Report'!$A$9:$D$314,4,FALSE)*$L$326,0)</f>
        <v>-1990043</v>
      </c>
      <c r="M58" s="220">
        <f>ROUND(VLOOKUP($A58,'Contribution Allocation_Report'!$A$9:$D$314,4,FALSE)*$M$326,0)</f>
        <v>-1301154</v>
      </c>
      <c r="N58" s="220">
        <f>ROUND(VLOOKUP($A58,'Contribution Allocation_Report'!$A$9:$D$314,4,FALSE)*$N$326,0)</f>
        <v>-332817</v>
      </c>
      <c r="O58" s="220">
        <f>ROUND(VLOOKUP($A58,'Contribution Allocation_Report'!$A$9:$D$314,4,FALSE)*$O$326,0)</f>
        <v>143268</v>
      </c>
      <c r="Q58" s="220">
        <f>+VLOOKUP(A58,'Change in Proportion Layers'!$AL$8:$AQ$322,2,FALSE)+K58</f>
        <v>-2290613</v>
      </c>
      <c r="R58" s="220">
        <f>+VLOOKUP(A58,'Change in Proportion Layers'!$AL$8:$AQ$322,3,FALSE)+L58</f>
        <v>-2709088</v>
      </c>
      <c r="S58" s="220">
        <f>+VLOOKUP(A58,'Change in Proportion Layers'!$AL$8:$AQ$322,4,FALSE)+M58</f>
        <v>-1917480</v>
      </c>
      <c r="T58" s="220">
        <f>+VLOOKUP(A58,'Change in Proportion Layers'!$AL$8:$AQ$322,5,FALSE)+N58</f>
        <v>-793412</v>
      </c>
      <c r="U58" s="220">
        <f>+VLOOKUP(A58,'Change in Proportion Layers'!$AL$8:$AQ$322,6,FALSE)+O58+1</f>
        <v>24101</v>
      </c>
      <c r="W58" s="220">
        <f>('OPEB Amounts_Report'!H58-'OPEB Amounts_Report'!M58)</f>
        <v>-7686492</v>
      </c>
      <c r="X58" s="245">
        <f t="shared" si="5"/>
        <v>0</v>
      </c>
    </row>
    <row r="59" spans="1:24" s="8" customFormat="1">
      <c r="A59" s="211">
        <v>2180</v>
      </c>
      <c r="B59" s="212" t="s">
        <v>48</v>
      </c>
      <c r="C59" s="46">
        <f t="shared" si="0"/>
        <v>-1043708</v>
      </c>
      <c r="D59" s="46">
        <f t="shared" si="1"/>
        <v>-1132379</v>
      </c>
      <c r="E59" s="46">
        <f t="shared" si="2"/>
        <v>-819316</v>
      </c>
      <c r="F59" s="46">
        <f t="shared" si="3"/>
        <v>-320464</v>
      </c>
      <c r="G59" s="46">
        <f t="shared" si="4"/>
        <v>12782</v>
      </c>
      <c r="I59" s="49"/>
      <c r="K59" s="220">
        <f>ROUND(VLOOKUP($A59,'Contribution Allocation_Report'!$A$9:$D$314,4,FALSE)*$K$326,0)</f>
        <v>-724672</v>
      </c>
      <c r="L59" s="220">
        <f>ROUND(VLOOKUP($A59,'Contribution Allocation_Report'!$A$9:$D$314,4,FALSE)*$L$326,0)</f>
        <v>-993885</v>
      </c>
      <c r="M59" s="220">
        <f>ROUND(VLOOKUP($A59,'Contribution Allocation_Report'!$A$9:$D$314,4,FALSE)*$M$326,0)</f>
        <v>-649834</v>
      </c>
      <c r="N59" s="220">
        <f>ROUND(VLOOKUP($A59,'Contribution Allocation_Report'!$A$9:$D$314,4,FALSE)*$N$326,0)</f>
        <v>-166218</v>
      </c>
      <c r="O59" s="220">
        <f>ROUND(VLOOKUP($A59,'Contribution Allocation_Report'!$A$9:$D$314,4,FALSE)*$O$326,0)</f>
        <v>71552</v>
      </c>
      <c r="Q59" s="220">
        <f>+VLOOKUP(A59,'Change in Proportion Layers'!$AL$8:$AQ$322,2,FALSE)+K59</f>
        <v>-1043708</v>
      </c>
      <c r="R59" s="220">
        <f>+VLOOKUP(A59,'Change in Proportion Layers'!$AL$8:$AQ$322,3,FALSE)+L59</f>
        <v>-1132379</v>
      </c>
      <c r="S59" s="220">
        <f>+VLOOKUP(A59,'Change in Proportion Layers'!$AL$8:$AQ$322,4,FALSE)+M59</f>
        <v>-819316</v>
      </c>
      <c r="T59" s="220">
        <f>+VLOOKUP(A59,'Change in Proportion Layers'!$AL$8:$AQ$322,5,FALSE)+N59</f>
        <v>-320464</v>
      </c>
      <c r="U59" s="220">
        <f>+VLOOKUP(A59,'Change in Proportion Layers'!$AL$8:$AQ$322,6,FALSE)+O59+2</f>
        <v>12782</v>
      </c>
      <c r="W59" s="220">
        <f>('OPEB Amounts_Report'!H59-'OPEB Amounts_Report'!M59)</f>
        <v>-3303085</v>
      </c>
      <c r="X59" s="245">
        <f t="shared" si="5"/>
        <v>0</v>
      </c>
    </row>
    <row r="60" spans="1:24" s="8" customFormat="1">
      <c r="A60" s="209">
        <v>2210</v>
      </c>
      <c r="B60" s="210" t="s">
        <v>49</v>
      </c>
      <c r="C60" s="219">
        <f t="shared" si="0"/>
        <v>-537158</v>
      </c>
      <c r="D60" s="219">
        <f t="shared" si="1"/>
        <v>-582488</v>
      </c>
      <c r="E60" s="219">
        <f t="shared" si="2"/>
        <v>-427462</v>
      </c>
      <c r="F60" s="219">
        <f t="shared" si="3"/>
        <v>-131209</v>
      </c>
      <c r="G60" s="219">
        <f t="shared" si="4"/>
        <v>57509</v>
      </c>
      <c r="I60" s="49"/>
      <c r="K60" s="220">
        <f>ROUND(VLOOKUP($A60,'Contribution Allocation_Report'!$A$9:$D$314,4,FALSE)*$K$326,0)</f>
        <v>-327018</v>
      </c>
      <c r="L60" s="220">
        <f>ROUND(VLOOKUP($A60,'Contribution Allocation_Report'!$A$9:$D$314,4,FALSE)*$L$326,0)</f>
        <v>-448504</v>
      </c>
      <c r="M60" s="220">
        <f>ROUND(VLOOKUP($A60,'Contribution Allocation_Report'!$A$9:$D$314,4,FALSE)*$M$326,0)</f>
        <v>-293246</v>
      </c>
      <c r="N60" s="220">
        <f>ROUND(VLOOKUP($A60,'Contribution Allocation_Report'!$A$9:$D$314,4,FALSE)*$N$326,0)</f>
        <v>-75008</v>
      </c>
      <c r="O60" s="220">
        <f>ROUND(VLOOKUP($A60,'Contribution Allocation_Report'!$A$9:$D$314,4,FALSE)*$O$326,0)</f>
        <v>32289</v>
      </c>
      <c r="Q60" s="220">
        <f>+VLOOKUP(A60,'Change in Proportion Layers'!$AL$8:$AQ$322,2,FALSE)+K60</f>
        <v>-537158</v>
      </c>
      <c r="R60" s="220">
        <f>+VLOOKUP(A60,'Change in Proportion Layers'!$AL$8:$AQ$322,3,FALSE)+L60</f>
        <v>-582488</v>
      </c>
      <c r="S60" s="220">
        <f>+VLOOKUP(A60,'Change in Proportion Layers'!$AL$8:$AQ$322,4,FALSE)+M60</f>
        <v>-427462</v>
      </c>
      <c r="T60" s="220">
        <f>+VLOOKUP(A60,'Change in Proportion Layers'!$AL$8:$AQ$322,5,FALSE)+N60</f>
        <v>-131209</v>
      </c>
      <c r="U60" s="220">
        <f>+VLOOKUP(A60,'Change in Proportion Layers'!$AL$8:$AQ$322,6,FALSE)+O60-1</f>
        <v>57509</v>
      </c>
      <c r="W60" s="220">
        <f>('OPEB Amounts_Report'!H60-'OPEB Amounts_Report'!M60)</f>
        <v>-1620808</v>
      </c>
      <c r="X60" s="245">
        <f t="shared" si="5"/>
        <v>0</v>
      </c>
    </row>
    <row r="61" spans="1:24" s="8" customFormat="1">
      <c r="A61" s="211">
        <v>2290</v>
      </c>
      <c r="B61" s="212" t="s">
        <v>50</v>
      </c>
      <c r="C61" s="46">
        <f t="shared" si="0"/>
        <v>-382094</v>
      </c>
      <c r="D61" s="46">
        <f t="shared" si="1"/>
        <v>-504437</v>
      </c>
      <c r="E61" s="46">
        <f t="shared" si="2"/>
        <v>-366667</v>
      </c>
      <c r="F61" s="46">
        <f t="shared" si="3"/>
        <v>-113559</v>
      </c>
      <c r="G61" s="46">
        <f t="shared" si="4"/>
        <v>17924</v>
      </c>
      <c r="I61" s="49"/>
      <c r="K61" s="220">
        <f>ROUND(VLOOKUP($A61,'Contribution Allocation_Report'!$A$9:$D$314,4,FALSE)*$K$326,0)</f>
        <v>-352063</v>
      </c>
      <c r="L61" s="220">
        <f>ROUND(VLOOKUP($A61,'Contribution Allocation_Report'!$A$9:$D$314,4,FALSE)*$L$326,0)</f>
        <v>-482853</v>
      </c>
      <c r="M61" s="220">
        <f>ROUND(VLOOKUP($A61,'Contribution Allocation_Report'!$A$9:$D$314,4,FALSE)*$M$326,0)</f>
        <v>-315705</v>
      </c>
      <c r="N61" s="220">
        <f>ROUND(VLOOKUP($A61,'Contribution Allocation_Report'!$A$9:$D$314,4,FALSE)*$N$326,0)</f>
        <v>-80753</v>
      </c>
      <c r="O61" s="220">
        <f>ROUND(VLOOKUP($A61,'Contribution Allocation_Report'!$A$9:$D$314,4,FALSE)*$O$326,0)</f>
        <v>34762</v>
      </c>
      <c r="Q61" s="220">
        <f>+VLOOKUP(A61,'Change in Proportion Layers'!$AL$8:$AQ$322,2,FALSE)+K61</f>
        <v>-382094</v>
      </c>
      <c r="R61" s="220">
        <f>+VLOOKUP(A61,'Change in Proportion Layers'!$AL$8:$AQ$322,3,FALSE)+L61</f>
        <v>-504437</v>
      </c>
      <c r="S61" s="220">
        <f>+VLOOKUP(A61,'Change in Proportion Layers'!$AL$8:$AQ$322,4,FALSE)+M61</f>
        <v>-366667</v>
      </c>
      <c r="T61" s="220">
        <f>+VLOOKUP(A61,'Change in Proportion Layers'!$AL$8:$AQ$322,5,FALSE)+N61</f>
        <v>-113559</v>
      </c>
      <c r="U61" s="220">
        <f>+VLOOKUP(A61,'Change in Proportion Layers'!$AL$8:$AQ$322,6,FALSE)+O61-1</f>
        <v>17924</v>
      </c>
      <c r="W61" s="220">
        <f>('OPEB Amounts_Report'!H61-'OPEB Amounts_Report'!M61)</f>
        <v>-1348833</v>
      </c>
      <c r="X61" s="245">
        <f t="shared" si="5"/>
        <v>0</v>
      </c>
    </row>
    <row r="62" spans="1:24" s="8" customFormat="1">
      <c r="A62" s="209">
        <v>2310</v>
      </c>
      <c r="B62" s="210" t="s">
        <v>51</v>
      </c>
      <c r="C62" s="219">
        <f t="shared" si="0"/>
        <v>-4067501</v>
      </c>
      <c r="D62" s="219">
        <f t="shared" si="1"/>
        <v>-3951269</v>
      </c>
      <c r="E62" s="219">
        <f t="shared" si="2"/>
        <v>-2534909</v>
      </c>
      <c r="F62" s="219">
        <f t="shared" si="3"/>
        <v>-656508</v>
      </c>
      <c r="G62" s="219">
        <f t="shared" si="4"/>
        <v>464985</v>
      </c>
      <c r="I62" s="49"/>
      <c r="K62" s="220">
        <f>ROUND(VLOOKUP($A62,'Contribution Allocation_Report'!$A$9:$D$314,4,FALSE)*$K$326,0)</f>
        <v>-2548340</v>
      </c>
      <c r="L62" s="220">
        <f>ROUND(VLOOKUP($A62,'Contribution Allocation_Report'!$A$9:$D$314,4,FALSE)*$L$326,0)</f>
        <v>-3495040</v>
      </c>
      <c r="M62" s="220">
        <f>ROUND(VLOOKUP($A62,'Contribution Allocation_Report'!$A$9:$D$314,4,FALSE)*$M$326,0)</f>
        <v>-2285169</v>
      </c>
      <c r="N62" s="220">
        <f>ROUND(VLOOKUP($A62,'Contribution Allocation_Report'!$A$9:$D$314,4,FALSE)*$N$326,0)</f>
        <v>-584514</v>
      </c>
      <c r="O62" s="220">
        <f>ROUND(VLOOKUP($A62,'Contribution Allocation_Report'!$A$9:$D$314,4,FALSE)*$O$326,0)</f>
        <v>251616</v>
      </c>
      <c r="Q62" s="220">
        <f>+VLOOKUP(A62,'Change in Proportion Layers'!$AL$8:$AQ$322,2,FALSE)+K62</f>
        <v>-4067501</v>
      </c>
      <c r="R62" s="220">
        <f>+VLOOKUP(A62,'Change in Proportion Layers'!$AL$8:$AQ$322,3,FALSE)+L62</f>
        <v>-3951269</v>
      </c>
      <c r="S62" s="220">
        <f>+VLOOKUP(A62,'Change in Proportion Layers'!$AL$8:$AQ$322,4,FALSE)+M62</f>
        <v>-2534909</v>
      </c>
      <c r="T62" s="220">
        <f>+VLOOKUP(A62,'Change in Proportion Layers'!$AL$8:$AQ$322,5,FALSE)+N62</f>
        <v>-656508</v>
      </c>
      <c r="U62" s="220">
        <f>+VLOOKUP(A62,'Change in Proportion Layers'!$AL$8:$AQ$322,6,FALSE)+O62+1</f>
        <v>464985</v>
      </c>
      <c r="W62" s="220">
        <f>('OPEB Amounts_Report'!H62-'OPEB Amounts_Report'!M62)</f>
        <v>-10745202</v>
      </c>
      <c r="X62" s="245">
        <f t="shared" si="5"/>
        <v>0</v>
      </c>
    </row>
    <row r="63" spans="1:24" s="8" customFormat="1">
      <c r="A63" s="211">
        <v>2330</v>
      </c>
      <c r="B63" s="212" t="s">
        <v>52</v>
      </c>
      <c r="C63" s="46">
        <f t="shared" si="0"/>
        <v>-1203865</v>
      </c>
      <c r="D63" s="46">
        <f t="shared" si="1"/>
        <v>-1451493</v>
      </c>
      <c r="E63" s="46">
        <f t="shared" si="2"/>
        <v>-917846</v>
      </c>
      <c r="F63" s="46">
        <f t="shared" si="3"/>
        <v>-416786</v>
      </c>
      <c r="G63" s="46">
        <f t="shared" si="4"/>
        <v>137963</v>
      </c>
      <c r="I63" s="49"/>
      <c r="K63" s="220">
        <f>ROUND(VLOOKUP($A63,'Contribution Allocation_Report'!$A$9:$D$314,4,FALSE)*$K$326,0)</f>
        <v>-805448</v>
      </c>
      <c r="L63" s="220">
        <f>ROUND(VLOOKUP($A63,'Contribution Allocation_Report'!$A$9:$D$314,4,FALSE)*$L$326,0)</f>
        <v>-1104670</v>
      </c>
      <c r="M63" s="220">
        <f>ROUND(VLOOKUP($A63,'Contribution Allocation_Report'!$A$9:$D$314,4,FALSE)*$M$326,0)</f>
        <v>-722268</v>
      </c>
      <c r="N63" s="220">
        <f>ROUND(VLOOKUP($A63,'Contribution Allocation_Report'!$A$9:$D$314,4,FALSE)*$N$326,0)</f>
        <v>-184746</v>
      </c>
      <c r="O63" s="220">
        <f>ROUND(VLOOKUP($A63,'Contribution Allocation_Report'!$A$9:$D$314,4,FALSE)*$O$326,0)</f>
        <v>79528</v>
      </c>
      <c r="Q63" s="220">
        <f>+VLOOKUP(A63,'Change in Proportion Layers'!$AL$8:$AQ$322,2,FALSE)+K63</f>
        <v>-1203865</v>
      </c>
      <c r="R63" s="220">
        <f>+VLOOKUP(A63,'Change in Proportion Layers'!$AL$8:$AQ$322,3,FALSE)+L63</f>
        <v>-1451493</v>
      </c>
      <c r="S63" s="220">
        <f>+VLOOKUP(A63,'Change in Proportion Layers'!$AL$8:$AQ$322,4,FALSE)+M63</f>
        <v>-917846</v>
      </c>
      <c r="T63" s="220">
        <f>+VLOOKUP(A63,'Change in Proportion Layers'!$AL$8:$AQ$322,5,FALSE)+N63</f>
        <v>-416786</v>
      </c>
      <c r="U63" s="220">
        <f>+VLOOKUP(A63,'Change in Proportion Layers'!$AL$8:$AQ$322,6,FALSE)+O63-1</f>
        <v>137963</v>
      </c>
      <c r="W63" s="220">
        <f>('OPEB Amounts_Report'!H63-'OPEB Amounts_Report'!M63)</f>
        <v>-3852027</v>
      </c>
      <c r="X63" s="245">
        <f t="shared" si="5"/>
        <v>0</v>
      </c>
    </row>
    <row r="64" spans="1:24" s="8" customFormat="1">
      <c r="A64" s="209">
        <v>2380</v>
      </c>
      <c r="B64" s="210" t="s">
        <v>53</v>
      </c>
      <c r="C64" s="219">
        <f t="shared" si="0"/>
        <v>28024</v>
      </c>
      <c r="D64" s="219">
        <f t="shared" si="1"/>
        <v>-96072</v>
      </c>
      <c r="E64" s="219">
        <f t="shared" si="2"/>
        <v>-78997</v>
      </c>
      <c r="F64" s="219">
        <f t="shared" si="3"/>
        <v>1870</v>
      </c>
      <c r="G64" s="219">
        <f t="shared" si="4"/>
        <v>38965</v>
      </c>
      <c r="I64" s="49"/>
      <c r="K64" s="220">
        <f>ROUND(VLOOKUP($A64,'Contribution Allocation_Report'!$A$9:$D$314,4,FALSE)*$K$326,0)</f>
        <v>-159051</v>
      </c>
      <c r="L64" s="220">
        <f>ROUND(VLOOKUP($A64,'Contribution Allocation_Report'!$A$9:$D$314,4,FALSE)*$L$326,0)</f>
        <v>-218138</v>
      </c>
      <c r="M64" s="220">
        <f>ROUND(VLOOKUP($A64,'Contribution Allocation_Report'!$A$9:$D$314,4,FALSE)*$M$326,0)</f>
        <v>-142626</v>
      </c>
      <c r="N64" s="220">
        <f>ROUND(VLOOKUP($A64,'Contribution Allocation_Report'!$A$9:$D$314,4,FALSE)*$N$326,0)</f>
        <v>-36482</v>
      </c>
      <c r="O64" s="220">
        <f>ROUND(VLOOKUP($A64,'Contribution Allocation_Report'!$A$9:$D$314,4,FALSE)*$O$326,0)</f>
        <v>15704</v>
      </c>
      <c r="Q64" s="220">
        <f>+VLOOKUP(A64,'Change in Proportion Layers'!$AL$8:$AQ$322,2,FALSE)+K64</f>
        <v>28024</v>
      </c>
      <c r="R64" s="220">
        <f>+VLOOKUP(A64,'Change in Proportion Layers'!$AL$8:$AQ$322,3,FALSE)+L64</f>
        <v>-96072</v>
      </c>
      <c r="S64" s="220">
        <f>+VLOOKUP(A64,'Change in Proportion Layers'!$AL$8:$AQ$322,4,FALSE)+M64</f>
        <v>-78997</v>
      </c>
      <c r="T64" s="220">
        <f>+VLOOKUP(A64,'Change in Proportion Layers'!$AL$8:$AQ$322,5,FALSE)+N64</f>
        <v>1870</v>
      </c>
      <c r="U64" s="220">
        <f>+VLOOKUP(A64,'Change in Proportion Layers'!$AL$8:$AQ$322,6,FALSE)+O64</f>
        <v>38965</v>
      </c>
      <c r="W64" s="220">
        <f>('OPEB Amounts_Report'!H64-'OPEB Amounts_Report'!M64)</f>
        <v>-106210</v>
      </c>
      <c r="X64" s="245">
        <f t="shared" si="5"/>
        <v>0</v>
      </c>
    </row>
    <row r="65" spans="1:24" s="8" customFormat="1">
      <c r="A65" s="211">
        <v>2400</v>
      </c>
      <c r="B65" s="212" t="s">
        <v>54</v>
      </c>
      <c r="C65" s="46">
        <f t="shared" si="0"/>
        <v>-5565007</v>
      </c>
      <c r="D65" s="46">
        <f t="shared" si="1"/>
        <v>-6174321</v>
      </c>
      <c r="E65" s="46">
        <f t="shared" si="2"/>
        <v>-4154700</v>
      </c>
      <c r="F65" s="46">
        <f t="shared" si="3"/>
        <v>-1006517</v>
      </c>
      <c r="G65" s="46">
        <f t="shared" si="4"/>
        <v>905971</v>
      </c>
      <c r="I65" s="49"/>
      <c r="K65" s="220">
        <f>ROUND(VLOOKUP($A65,'Contribution Allocation_Report'!$A$9:$D$314,4,FALSE)*$K$326,0)</f>
        <v>-4478789</v>
      </c>
      <c r="L65" s="220">
        <f>ROUND(VLOOKUP($A65,'Contribution Allocation_Report'!$A$9:$D$314,4,FALSE)*$L$326,0)</f>
        <v>-6142644</v>
      </c>
      <c r="M65" s="220">
        <f>ROUND(VLOOKUP($A65,'Contribution Allocation_Report'!$A$9:$D$314,4,FALSE)*$M$326,0)</f>
        <v>-4016256</v>
      </c>
      <c r="N65" s="220">
        <f>ROUND(VLOOKUP($A65,'Contribution Allocation_Report'!$A$9:$D$314,4,FALSE)*$N$326,0)</f>
        <v>-1027302</v>
      </c>
      <c r="O65" s="220">
        <f>ROUND(VLOOKUP($A65,'Contribution Allocation_Report'!$A$9:$D$314,4,FALSE)*$O$326,0)</f>
        <v>442222</v>
      </c>
      <c r="Q65" s="220">
        <f>+VLOOKUP(A65,'Change in Proportion Layers'!$AL$8:$AQ$322,2,FALSE)+K65</f>
        <v>-5565007</v>
      </c>
      <c r="R65" s="220">
        <f>+VLOOKUP(A65,'Change in Proportion Layers'!$AL$8:$AQ$322,3,FALSE)+L65</f>
        <v>-6174321</v>
      </c>
      <c r="S65" s="220">
        <f>+VLOOKUP(A65,'Change in Proportion Layers'!$AL$8:$AQ$322,4,FALSE)+M65</f>
        <v>-4154700</v>
      </c>
      <c r="T65" s="220">
        <f>+VLOOKUP(A65,'Change in Proportion Layers'!$AL$8:$AQ$322,5,FALSE)+N65</f>
        <v>-1006517</v>
      </c>
      <c r="U65" s="220">
        <f>+VLOOKUP(A65,'Change in Proportion Layers'!$AL$8:$AQ$322,6,FALSE)+O65</f>
        <v>905971</v>
      </c>
      <c r="W65" s="220">
        <f>('OPEB Amounts_Report'!H65-'OPEB Amounts_Report'!M65)</f>
        <v>-15994574</v>
      </c>
      <c r="X65" s="245">
        <f t="shared" si="5"/>
        <v>0</v>
      </c>
    </row>
    <row r="66" spans="1:24" s="8" customFormat="1">
      <c r="A66" s="209">
        <v>2410</v>
      </c>
      <c r="B66" s="210" t="s">
        <v>55</v>
      </c>
      <c r="C66" s="219">
        <f t="shared" si="0"/>
        <v>-536030</v>
      </c>
      <c r="D66" s="219">
        <f t="shared" si="1"/>
        <v>-799232</v>
      </c>
      <c r="E66" s="219">
        <f t="shared" si="2"/>
        <v>-623951</v>
      </c>
      <c r="F66" s="219">
        <f t="shared" si="3"/>
        <v>-299242</v>
      </c>
      <c r="G66" s="219">
        <f t="shared" si="4"/>
        <v>-22761</v>
      </c>
      <c r="I66" s="49"/>
      <c r="K66" s="220">
        <f>ROUND(VLOOKUP($A66,'Contribution Allocation_Report'!$A$9:$D$314,4,FALSE)*$K$326,0)</f>
        <v>-445706</v>
      </c>
      <c r="L66" s="220">
        <f>ROUND(VLOOKUP($A66,'Contribution Allocation_Report'!$A$9:$D$314,4,FALSE)*$L$326,0)</f>
        <v>-611285</v>
      </c>
      <c r="M66" s="220">
        <f>ROUND(VLOOKUP($A66,'Contribution Allocation_Report'!$A$9:$D$314,4,FALSE)*$M$326,0)</f>
        <v>-399677</v>
      </c>
      <c r="N66" s="220">
        <f>ROUND(VLOOKUP($A66,'Contribution Allocation_Report'!$A$9:$D$314,4,FALSE)*$N$326,0)</f>
        <v>-102232</v>
      </c>
      <c r="O66" s="220">
        <f>ROUND(VLOOKUP($A66,'Contribution Allocation_Report'!$A$9:$D$314,4,FALSE)*$O$326,0)</f>
        <v>44008</v>
      </c>
      <c r="Q66" s="220">
        <f>+VLOOKUP(A66,'Change in Proportion Layers'!$AL$8:$AQ$322,2,FALSE)+K66</f>
        <v>-536030</v>
      </c>
      <c r="R66" s="220">
        <f>+VLOOKUP(A66,'Change in Proportion Layers'!$AL$8:$AQ$322,3,FALSE)+L66</f>
        <v>-799232</v>
      </c>
      <c r="S66" s="220">
        <f>+VLOOKUP(A66,'Change in Proportion Layers'!$AL$8:$AQ$322,4,FALSE)+M66</f>
        <v>-623951</v>
      </c>
      <c r="T66" s="220">
        <f>+VLOOKUP(A66,'Change in Proportion Layers'!$AL$8:$AQ$322,5,FALSE)+N66</f>
        <v>-299242</v>
      </c>
      <c r="U66" s="220">
        <f>+VLOOKUP(A66,'Change in Proportion Layers'!$AL$8:$AQ$322,6,FALSE)+O66</f>
        <v>-22761</v>
      </c>
      <c r="W66" s="220">
        <f>('OPEB Amounts_Report'!H66-'OPEB Amounts_Report'!M66)</f>
        <v>-2281216</v>
      </c>
      <c r="X66" s="245">
        <f t="shared" si="5"/>
        <v>0</v>
      </c>
    </row>
    <row r="67" spans="1:24" s="8" customFormat="1">
      <c r="A67" s="211">
        <v>2500</v>
      </c>
      <c r="B67" s="212" t="s">
        <v>56</v>
      </c>
      <c r="C67" s="46">
        <f t="shared" si="0"/>
        <v>-76084</v>
      </c>
      <c r="D67" s="46">
        <f t="shared" si="1"/>
        <v>-94638</v>
      </c>
      <c r="E67" s="46">
        <f t="shared" si="2"/>
        <v>-63013</v>
      </c>
      <c r="F67" s="46">
        <f t="shared" si="3"/>
        <v>-28763</v>
      </c>
      <c r="G67" s="46">
        <f t="shared" si="4"/>
        <v>-15819</v>
      </c>
      <c r="I67" s="49"/>
      <c r="K67" s="220">
        <f>ROUND(VLOOKUP($A67,'Contribution Allocation_Report'!$A$9:$D$314,4,FALSE)*$K$326,0)</f>
        <v>-81838</v>
      </c>
      <c r="L67" s="220">
        <f>ROUND(VLOOKUP($A67,'Contribution Allocation_Report'!$A$9:$D$314,4,FALSE)*$L$326,0)</f>
        <v>-112240</v>
      </c>
      <c r="M67" s="220">
        <f>ROUND(VLOOKUP($A67,'Contribution Allocation_Report'!$A$9:$D$314,4,FALSE)*$M$326,0)</f>
        <v>-73386</v>
      </c>
      <c r="N67" s="220">
        <f>ROUND(VLOOKUP($A67,'Contribution Allocation_Report'!$A$9:$D$314,4,FALSE)*$N$326,0)</f>
        <v>-18771</v>
      </c>
      <c r="O67" s="220">
        <f>ROUND(VLOOKUP($A67,'Contribution Allocation_Report'!$A$9:$D$314,4,FALSE)*$O$326,0)</f>
        <v>8080</v>
      </c>
      <c r="Q67" s="220">
        <f>+VLOOKUP(A67,'Change in Proportion Layers'!$AL$8:$AQ$322,2,FALSE)+K67</f>
        <v>-76084</v>
      </c>
      <c r="R67" s="220">
        <f>+VLOOKUP(A67,'Change in Proportion Layers'!$AL$8:$AQ$322,3,FALSE)+L67</f>
        <v>-94638</v>
      </c>
      <c r="S67" s="220">
        <f>+VLOOKUP(A67,'Change in Proportion Layers'!$AL$8:$AQ$322,4,FALSE)+M67</f>
        <v>-63013</v>
      </c>
      <c r="T67" s="220">
        <f>+VLOOKUP(A67,'Change in Proportion Layers'!$AL$8:$AQ$322,5,FALSE)+N67</f>
        <v>-28763</v>
      </c>
      <c r="U67" s="220">
        <f>+VLOOKUP(A67,'Change in Proportion Layers'!$AL$8:$AQ$322,6,FALSE)+O67-1</f>
        <v>-15819</v>
      </c>
      <c r="W67" s="220">
        <f>('OPEB Amounts_Report'!H67-'OPEB Amounts_Report'!M67)</f>
        <v>-278317</v>
      </c>
      <c r="X67" s="245">
        <f t="shared" si="5"/>
        <v>0</v>
      </c>
    </row>
    <row r="68" spans="1:24" s="8" customFormat="1">
      <c r="A68" s="209">
        <v>2550</v>
      </c>
      <c r="B68" s="210" t="s">
        <v>57</v>
      </c>
      <c r="C68" s="219">
        <f t="shared" si="0"/>
        <v>-426886</v>
      </c>
      <c r="D68" s="219">
        <f t="shared" si="1"/>
        <v>-485138</v>
      </c>
      <c r="E68" s="219">
        <f t="shared" si="2"/>
        <v>-327062</v>
      </c>
      <c r="F68" s="219">
        <f t="shared" si="3"/>
        <v>-114511</v>
      </c>
      <c r="G68" s="219">
        <f t="shared" si="4"/>
        <v>5850</v>
      </c>
      <c r="I68" s="49"/>
      <c r="K68" s="220">
        <f>ROUND(VLOOKUP($A68,'Contribution Allocation_Report'!$A$9:$D$314,4,FALSE)*$K$326,0)</f>
        <v>-304289</v>
      </c>
      <c r="L68" s="220">
        <f>ROUND(VLOOKUP($A68,'Contribution Allocation_Report'!$A$9:$D$314,4,FALSE)*$L$326,0)</f>
        <v>-417331</v>
      </c>
      <c r="M68" s="220">
        <f>ROUND(VLOOKUP($A68,'Contribution Allocation_Report'!$A$9:$D$314,4,FALSE)*$M$326,0)</f>
        <v>-272864</v>
      </c>
      <c r="N68" s="220">
        <f>ROUND(VLOOKUP($A68,'Contribution Allocation_Report'!$A$9:$D$314,4,FALSE)*$N$326,0)</f>
        <v>-69795</v>
      </c>
      <c r="O68" s="220">
        <f>ROUND(VLOOKUP($A68,'Contribution Allocation_Report'!$A$9:$D$314,4,FALSE)*$O$326,0)</f>
        <v>30045</v>
      </c>
      <c r="Q68" s="220">
        <f>+VLOOKUP(A68,'Change in Proportion Layers'!$AL$8:$AQ$322,2,FALSE)+K68</f>
        <v>-426886</v>
      </c>
      <c r="R68" s="220">
        <f>+VLOOKUP(A68,'Change in Proportion Layers'!$AL$8:$AQ$322,3,FALSE)+L68</f>
        <v>-485138</v>
      </c>
      <c r="S68" s="220">
        <f>+VLOOKUP(A68,'Change in Proportion Layers'!$AL$8:$AQ$322,4,FALSE)+M68</f>
        <v>-327062</v>
      </c>
      <c r="T68" s="220">
        <f>+VLOOKUP(A68,'Change in Proportion Layers'!$AL$8:$AQ$322,5,FALSE)+N68</f>
        <v>-114511</v>
      </c>
      <c r="U68" s="220">
        <f>+VLOOKUP(A68,'Change in Proportion Layers'!$AL$8:$AQ$322,6,FALSE)+O68</f>
        <v>5850</v>
      </c>
      <c r="W68" s="220">
        <f>('OPEB Amounts_Report'!H68-'OPEB Amounts_Report'!M68)</f>
        <v>-1347747</v>
      </c>
      <c r="X68" s="245">
        <f t="shared" si="5"/>
        <v>0</v>
      </c>
    </row>
    <row r="69" spans="1:24" s="8" customFormat="1">
      <c r="A69" s="211">
        <v>2570</v>
      </c>
      <c r="B69" s="212" t="s">
        <v>58</v>
      </c>
      <c r="C69" s="46">
        <f t="shared" si="0"/>
        <v>-282337</v>
      </c>
      <c r="D69" s="46">
        <f t="shared" si="1"/>
        <v>-319887</v>
      </c>
      <c r="E69" s="46">
        <f t="shared" si="2"/>
        <v>-217400</v>
      </c>
      <c r="F69" s="46">
        <f t="shared" si="3"/>
        <v>-64690</v>
      </c>
      <c r="G69" s="46">
        <f t="shared" si="4"/>
        <v>26070</v>
      </c>
      <c r="I69" s="49"/>
      <c r="K69" s="220">
        <f>ROUND(VLOOKUP($A69,'Contribution Allocation_Report'!$A$9:$D$314,4,FALSE)*$K$326,0)</f>
        <v>-192617</v>
      </c>
      <c r="L69" s="220">
        <f>ROUND(VLOOKUP($A69,'Contribution Allocation_Report'!$A$9:$D$314,4,FALSE)*$L$326,0)</f>
        <v>-264174</v>
      </c>
      <c r="M69" s="220">
        <f>ROUND(VLOOKUP($A69,'Contribution Allocation_Report'!$A$9:$D$314,4,FALSE)*$M$326,0)</f>
        <v>-172725</v>
      </c>
      <c r="N69" s="220">
        <f>ROUND(VLOOKUP($A69,'Contribution Allocation_Report'!$A$9:$D$314,4,FALSE)*$N$326,0)</f>
        <v>-44181</v>
      </c>
      <c r="O69" s="220">
        <f>ROUND(VLOOKUP($A69,'Contribution Allocation_Report'!$A$9:$D$314,4,FALSE)*$O$326,0)</f>
        <v>19018</v>
      </c>
      <c r="Q69" s="220">
        <f>+VLOOKUP(A69,'Change in Proportion Layers'!$AL$8:$AQ$322,2,FALSE)+K69</f>
        <v>-282337</v>
      </c>
      <c r="R69" s="220">
        <f>+VLOOKUP(A69,'Change in Proportion Layers'!$AL$8:$AQ$322,3,FALSE)+L69</f>
        <v>-319887</v>
      </c>
      <c r="S69" s="220">
        <f>+VLOOKUP(A69,'Change in Proportion Layers'!$AL$8:$AQ$322,4,FALSE)+M69</f>
        <v>-217400</v>
      </c>
      <c r="T69" s="220">
        <f>+VLOOKUP(A69,'Change in Proportion Layers'!$AL$8:$AQ$322,5,FALSE)+N69</f>
        <v>-64690</v>
      </c>
      <c r="U69" s="220">
        <f>+VLOOKUP(A69,'Change in Proportion Layers'!$AL$8:$AQ$322,6,FALSE)+O69+1</f>
        <v>26070</v>
      </c>
      <c r="W69" s="220">
        <f>('OPEB Amounts_Report'!H69-'OPEB Amounts_Report'!M69)</f>
        <v>-858244</v>
      </c>
      <c r="X69" s="245">
        <f t="shared" si="5"/>
        <v>0</v>
      </c>
    </row>
    <row r="70" spans="1:24" s="8" customFormat="1">
      <c r="A70" s="209">
        <v>2620</v>
      </c>
      <c r="B70" s="210" t="s">
        <v>59</v>
      </c>
      <c r="C70" s="219">
        <f t="shared" si="0"/>
        <v>-2011150</v>
      </c>
      <c r="D70" s="219">
        <f t="shared" si="1"/>
        <v>-2892718</v>
      </c>
      <c r="E70" s="219">
        <f t="shared" si="2"/>
        <v>-1803901</v>
      </c>
      <c r="F70" s="219">
        <f t="shared" si="3"/>
        <v>-334089</v>
      </c>
      <c r="G70" s="219">
        <f t="shared" si="4"/>
        <v>545852</v>
      </c>
      <c r="I70" s="49"/>
      <c r="K70" s="220">
        <f>ROUND(VLOOKUP($A70,'Contribution Allocation_Report'!$A$9:$D$314,4,FALSE)*$K$326,0)</f>
        <v>-2009883</v>
      </c>
      <c r="L70" s="220">
        <f>ROUND(VLOOKUP($A70,'Contribution Allocation_Report'!$A$9:$D$314,4,FALSE)*$L$326,0)</f>
        <v>-2756548</v>
      </c>
      <c r="M70" s="220">
        <f>ROUND(VLOOKUP($A70,'Contribution Allocation_Report'!$A$9:$D$314,4,FALSE)*$M$326,0)</f>
        <v>-1802319</v>
      </c>
      <c r="N70" s="220">
        <f>ROUND(VLOOKUP($A70,'Contribution Allocation_Report'!$A$9:$D$314,4,FALSE)*$N$326,0)</f>
        <v>-461008</v>
      </c>
      <c r="O70" s="220">
        <f>ROUND(VLOOKUP($A70,'Contribution Allocation_Report'!$A$9:$D$314,4,FALSE)*$O$326,0)</f>
        <v>198450</v>
      </c>
      <c r="Q70" s="220">
        <f>+VLOOKUP(A70,'Change in Proportion Layers'!$AL$8:$AQ$322,2,FALSE)+K70</f>
        <v>-2011150</v>
      </c>
      <c r="R70" s="220">
        <f>+VLOOKUP(A70,'Change in Proportion Layers'!$AL$8:$AQ$322,3,FALSE)+L70</f>
        <v>-2892718</v>
      </c>
      <c r="S70" s="220">
        <f>+VLOOKUP(A70,'Change in Proportion Layers'!$AL$8:$AQ$322,4,FALSE)+M70</f>
        <v>-1803901</v>
      </c>
      <c r="T70" s="220">
        <f>+VLOOKUP(A70,'Change in Proportion Layers'!$AL$8:$AQ$322,5,FALSE)+N70</f>
        <v>-334089</v>
      </c>
      <c r="U70" s="220">
        <f>+VLOOKUP(A70,'Change in Proportion Layers'!$AL$8:$AQ$322,6,FALSE)+O70+1</f>
        <v>545852</v>
      </c>
      <c r="W70" s="220">
        <f>('OPEB Amounts_Report'!H70-'OPEB Amounts_Report'!M70)</f>
        <v>-6496006</v>
      </c>
      <c r="X70" s="245">
        <f t="shared" si="5"/>
        <v>0</v>
      </c>
    </row>
    <row r="71" spans="1:24" s="8" customFormat="1">
      <c r="A71" s="211">
        <v>2630</v>
      </c>
      <c r="B71" s="212" t="s">
        <v>60</v>
      </c>
      <c r="C71" s="46">
        <f t="shared" si="0"/>
        <v>-1886445</v>
      </c>
      <c r="D71" s="46">
        <f t="shared" si="1"/>
        <v>-2217172</v>
      </c>
      <c r="E71" s="46">
        <f t="shared" si="2"/>
        <v>-1417260</v>
      </c>
      <c r="F71" s="46">
        <f t="shared" si="3"/>
        <v>-760662</v>
      </c>
      <c r="G71" s="46">
        <f t="shared" si="4"/>
        <v>-123998</v>
      </c>
      <c r="I71" s="49"/>
      <c r="K71" s="220">
        <f>ROUND(VLOOKUP($A71,'Contribution Allocation_Report'!$A$9:$D$314,4,FALSE)*$K$326,0)</f>
        <v>-1442221</v>
      </c>
      <c r="L71" s="220">
        <f>ROUND(VLOOKUP($A71,'Contribution Allocation_Report'!$A$9:$D$314,4,FALSE)*$L$326,0)</f>
        <v>-1978002</v>
      </c>
      <c r="M71" s="220">
        <f>ROUND(VLOOKUP($A71,'Contribution Allocation_Report'!$A$9:$D$314,4,FALSE)*$M$326,0)</f>
        <v>-1293281</v>
      </c>
      <c r="N71" s="220">
        <f>ROUND(VLOOKUP($A71,'Contribution Allocation_Report'!$A$9:$D$314,4,FALSE)*$N$326,0)</f>
        <v>-330803</v>
      </c>
      <c r="O71" s="220">
        <f>ROUND(VLOOKUP($A71,'Contribution Allocation_Report'!$A$9:$D$314,4,FALSE)*$O$326,0)</f>
        <v>142401</v>
      </c>
      <c r="Q71" s="220">
        <f>+VLOOKUP(A71,'Change in Proportion Layers'!$AL$8:$AQ$322,2,FALSE)+K71</f>
        <v>-1886445</v>
      </c>
      <c r="R71" s="220">
        <f>+VLOOKUP(A71,'Change in Proportion Layers'!$AL$8:$AQ$322,3,FALSE)+L71</f>
        <v>-2217172</v>
      </c>
      <c r="S71" s="220">
        <f>+VLOOKUP(A71,'Change in Proportion Layers'!$AL$8:$AQ$322,4,FALSE)+M71</f>
        <v>-1417260</v>
      </c>
      <c r="T71" s="220">
        <f>+VLOOKUP(A71,'Change in Proportion Layers'!$AL$8:$AQ$322,5,FALSE)+N71</f>
        <v>-760662</v>
      </c>
      <c r="U71" s="220">
        <f>+VLOOKUP(A71,'Change in Proportion Layers'!$AL$8:$AQ$322,6,FALSE)+O71</f>
        <v>-123998</v>
      </c>
      <c r="W71" s="220">
        <f>('OPEB Amounts_Report'!H71-'OPEB Amounts_Report'!M71)</f>
        <v>-6405537</v>
      </c>
      <c r="X71" s="245">
        <f t="shared" si="5"/>
        <v>0</v>
      </c>
    </row>
    <row r="72" spans="1:24" s="8" customFormat="1">
      <c r="A72" s="209">
        <v>2690</v>
      </c>
      <c r="B72" s="210" t="s">
        <v>61</v>
      </c>
      <c r="C72" s="219">
        <f t="shared" si="0"/>
        <v>-5566109</v>
      </c>
      <c r="D72" s="219">
        <f t="shared" si="1"/>
        <v>-6198501</v>
      </c>
      <c r="E72" s="219">
        <f t="shared" si="2"/>
        <v>-3433844</v>
      </c>
      <c r="F72" s="219">
        <f t="shared" si="3"/>
        <v>-857881</v>
      </c>
      <c r="G72" s="219">
        <f t="shared" si="4"/>
        <v>114560</v>
      </c>
      <c r="I72" s="49"/>
      <c r="K72" s="220">
        <f>ROUND(VLOOKUP($A72,'Contribution Allocation_Report'!$A$9:$D$314,4,FALSE)*$K$326,0)</f>
        <v>-3759851</v>
      </c>
      <c r="L72" s="220">
        <f>ROUND(VLOOKUP($A72,'Contribution Allocation_Report'!$A$9:$D$314,4,FALSE)*$L$326,0)</f>
        <v>-5156623</v>
      </c>
      <c r="M72" s="220">
        <f>ROUND(VLOOKUP($A72,'Contribution Allocation_Report'!$A$9:$D$314,4,FALSE)*$M$326,0)</f>
        <v>-3371565</v>
      </c>
      <c r="N72" s="220">
        <f>ROUND(VLOOKUP($A72,'Contribution Allocation_Report'!$A$9:$D$314,4,FALSE)*$N$326,0)</f>
        <v>-862399</v>
      </c>
      <c r="O72" s="220">
        <f>ROUND(VLOOKUP($A72,'Contribution Allocation_Report'!$A$9:$D$314,4,FALSE)*$O$326,0)</f>
        <v>371237</v>
      </c>
      <c r="Q72" s="220">
        <f>+VLOOKUP(A72,'Change in Proportion Layers'!$AL$8:$AQ$322,2,FALSE)+K72</f>
        <v>-5566109</v>
      </c>
      <c r="R72" s="220">
        <f>+VLOOKUP(A72,'Change in Proportion Layers'!$AL$8:$AQ$322,3,FALSE)+L72</f>
        <v>-6198501</v>
      </c>
      <c r="S72" s="220">
        <f>+VLOOKUP(A72,'Change in Proportion Layers'!$AL$8:$AQ$322,4,FALSE)+M72</f>
        <v>-3433844</v>
      </c>
      <c r="T72" s="220">
        <f>+VLOOKUP(A72,'Change in Proportion Layers'!$AL$8:$AQ$322,5,FALSE)+N72</f>
        <v>-857881</v>
      </c>
      <c r="U72" s="220">
        <f>+VLOOKUP(A72,'Change in Proportion Layers'!$AL$8:$AQ$322,6,FALSE)+O72</f>
        <v>114560</v>
      </c>
      <c r="W72" s="220">
        <f>('OPEB Amounts_Report'!H72-'OPEB Amounts_Report'!M72)</f>
        <v>-15941775</v>
      </c>
      <c r="X72" s="245">
        <f t="shared" si="5"/>
        <v>0</v>
      </c>
    </row>
    <row r="73" spans="1:24" s="8" customFormat="1">
      <c r="A73" s="211">
        <v>2710</v>
      </c>
      <c r="B73" s="212" t="s">
        <v>62</v>
      </c>
      <c r="C73" s="46">
        <f t="shared" si="0"/>
        <v>-179688</v>
      </c>
      <c r="D73" s="46">
        <f t="shared" si="1"/>
        <v>-148645</v>
      </c>
      <c r="E73" s="46">
        <f t="shared" si="2"/>
        <v>-104429</v>
      </c>
      <c r="F73" s="46">
        <f t="shared" si="3"/>
        <v>-59640</v>
      </c>
      <c r="G73" s="46">
        <f t="shared" si="4"/>
        <v>-13694</v>
      </c>
      <c r="I73" s="49"/>
      <c r="K73" s="220">
        <f>ROUND(VLOOKUP($A73,'Contribution Allocation_Report'!$A$9:$D$314,4,FALSE)*$K$326,0)</f>
        <v>-35625</v>
      </c>
      <c r="L73" s="220">
        <f>ROUND(VLOOKUP($A73,'Contribution Allocation_Report'!$A$9:$D$314,4,FALSE)*$L$326,0)</f>
        <v>-48859</v>
      </c>
      <c r="M73" s="220">
        <f>ROUND(VLOOKUP($A73,'Contribution Allocation_Report'!$A$9:$D$314,4,FALSE)*$M$326,0)</f>
        <v>-31946</v>
      </c>
      <c r="N73" s="220">
        <f>ROUND(VLOOKUP($A73,'Contribution Allocation_Report'!$A$9:$D$314,4,FALSE)*$N$326,0)</f>
        <v>-8171</v>
      </c>
      <c r="O73" s="220">
        <f>ROUND(VLOOKUP($A73,'Contribution Allocation_Report'!$A$9:$D$314,4,FALSE)*$O$326,0)</f>
        <v>3517</v>
      </c>
      <c r="Q73" s="220">
        <f>+VLOOKUP(A73,'Change in Proportion Layers'!$AL$8:$AQ$322,2,FALSE)+K73</f>
        <v>-179688</v>
      </c>
      <c r="R73" s="220">
        <f>+VLOOKUP(A73,'Change in Proportion Layers'!$AL$8:$AQ$322,3,FALSE)+L73</f>
        <v>-148645</v>
      </c>
      <c r="S73" s="220">
        <f>+VLOOKUP(A73,'Change in Proportion Layers'!$AL$8:$AQ$322,4,FALSE)+M73</f>
        <v>-104429</v>
      </c>
      <c r="T73" s="220">
        <f>+VLOOKUP(A73,'Change in Proportion Layers'!$AL$8:$AQ$322,5,FALSE)+N73</f>
        <v>-59640</v>
      </c>
      <c r="U73" s="220">
        <f>+VLOOKUP(A73,'Change in Proportion Layers'!$AL$8:$AQ$322,6,FALSE)+O73+1</f>
        <v>-13694</v>
      </c>
      <c r="W73" s="220">
        <f>('OPEB Amounts_Report'!H73-'OPEB Amounts_Report'!M73)</f>
        <v>-506096</v>
      </c>
      <c r="X73" s="245">
        <f t="shared" si="5"/>
        <v>0</v>
      </c>
    </row>
    <row r="74" spans="1:24" s="8" customFormat="1">
      <c r="A74" s="209">
        <v>2730</v>
      </c>
      <c r="B74" s="210" t="s">
        <v>63</v>
      </c>
      <c r="C74" s="219">
        <f t="shared" si="0"/>
        <v>-282472</v>
      </c>
      <c r="D74" s="219">
        <f t="shared" si="1"/>
        <v>-345535</v>
      </c>
      <c r="E74" s="219">
        <f t="shared" si="2"/>
        <v>-222625</v>
      </c>
      <c r="F74" s="219">
        <f t="shared" si="3"/>
        <v>-23934</v>
      </c>
      <c r="G74" s="219">
        <f t="shared" si="4"/>
        <v>75179</v>
      </c>
      <c r="I74" s="49"/>
      <c r="K74" s="220">
        <f>ROUND(VLOOKUP($A74,'Contribution Allocation_Report'!$A$9:$D$314,4,FALSE)*$K$326,0)</f>
        <v>-307839</v>
      </c>
      <c r="L74" s="220">
        <f>ROUND(VLOOKUP($A74,'Contribution Allocation_Report'!$A$9:$D$314,4,FALSE)*$L$326,0)</f>
        <v>-422200</v>
      </c>
      <c r="M74" s="220">
        <f>ROUND(VLOOKUP($A74,'Contribution Allocation_Report'!$A$9:$D$314,4,FALSE)*$M$326,0)</f>
        <v>-276048</v>
      </c>
      <c r="N74" s="220">
        <f>ROUND(VLOOKUP($A74,'Contribution Allocation_Report'!$A$9:$D$314,4,FALSE)*$N$326,0)</f>
        <v>-70609</v>
      </c>
      <c r="O74" s="220">
        <f>ROUND(VLOOKUP($A74,'Contribution Allocation_Report'!$A$9:$D$314,4,FALSE)*$O$326,0)</f>
        <v>30395</v>
      </c>
      <c r="Q74" s="220">
        <f>+VLOOKUP(A74,'Change in Proportion Layers'!$AL$8:$AQ$322,2,FALSE)+K74</f>
        <v>-282472</v>
      </c>
      <c r="R74" s="220">
        <f>+VLOOKUP(A74,'Change in Proportion Layers'!$AL$8:$AQ$322,3,FALSE)+L74</f>
        <v>-345535</v>
      </c>
      <c r="S74" s="220">
        <f>+VLOOKUP(A74,'Change in Proportion Layers'!$AL$8:$AQ$322,4,FALSE)+M74</f>
        <v>-222625</v>
      </c>
      <c r="T74" s="220">
        <f>+VLOOKUP(A74,'Change in Proportion Layers'!$AL$8:$AQ$322,5,FALSE)+N74</f>
        <v>-23934</v>
      </c>
      <c r="U74" s="220">
        <f>+VLOOKUP(A74,'Change in Proportion Layers'!$AL$8:$AQ$322,6,FALSE)+O74+1</f>
        <v>75179</v>
      </c>
      <c r="W74" s="220">
        <f>('OPEB Amounts_Report'!H74-'OPEB Amounts_Report'!M74)</f>
        <v>-799387</v>
      </c>
      <c r="X74" s="245">
        <f t="shared" si="5"/>
        <v>0</v>
      </c>
    </row>
    <row r="75" spans="1:24" s="8" customFormat="1">
      <c r="A75" s="211">
        <v>2950</v>
      </c>
      <c r="B75" s="212" t="s">
        <v>64</v>
      </c>
      <c r="C75" s="46">
        <f t="shared" si="0"/>
        <v>-313130</v>
      </c>
      <c r="D75" s="46">
        <f t="shared" si="1"/>
        <v>-322573</v>
      </c>
      <c r="E75" s="46">
        <f t="shared" si="2"/>
        <v>-240385</v>
      </c>
      <c r="F75" s="46">
        <f t="shared" si="3"/>
        <v>-68913</v>
      </c>
      <c r="G75" s="46">
        <f t="shared" si="4"/>
        <v>68672</v>
      </c>
      <c r="I75" s="49"/>
      <c r="K75" s="220">
        <f>ROUND(VLOOKUP($A75,'Contribution Allocation_Report'!$A$9:$D$314,4,FALSE)*$K$326,0)</f>
        <v>-225799</v>
      </c>
      <c r="L75" s="220">
        <f>ROUND(VLOOKUP($A75,'Contribution Allocation_Report'!$A$9:$D$314,4,FALSE)*$L$326,0)</f>
        <v>-309683</v>
      </c>
      <c r="M75" s="220">
        <f>ROUND(VLOOKUP($A75,'Contribution Allocation_Report'!$A$9:$D$314,4,FALSE)*$M$326,0)</f>
        <v>-202480</v>
      </c>
      <c r="N75" s="220">
        <f>ROUND(VLOOKUP($A75,'Contribution Allocation_Report'!$A$9:$D$314,4,FALSE)*$N$326,0)</f>
        <v>-51792</v>
      </c>
      <c r="O75" s="220">
        <f>ROUND(VLOOKUP($A75,'Contribution Allocation_Report'!$A$9:$D$314,4,FALSE)*$O$326,0)</f>
        <v>22295</v>
      </c>
      <c r="Q75" s="220">
        <f>+VLOOKUP(A75,'Change in Proportion Layers'!$AL$8:$AQ$322,2,FALSE)+K75</f>
        <v>-313130</v>
      </c>
      <c r="R75" s="220">
        <f>+VLOOKUP(A75,'Change in Proportion Layers'!$AL$8:$AQ$322,3,FALSE)+L75</f>
        <v>-322573</v>
      </c>
      <c r="S75" s="220">
        <f>+VLOOKUP(A75,'Change in Proportion Layers'!$AL$8:$AQ$322,4,FALSE)+M75</f>
        <v>-240385</v>
      </c>
      <c r="T75" s="220">
        <f>+VLOOKUP(A75,'Change in Proportion Layers'!$AL$8:$AQ$322,5,FALSE)+N75</f>
        <v>-68913</v>
      </c>
      <c r="U75" s="220">
        <f>+VLOOKUP(A75,'Change in Proportion Layers'!$AL$8:$AQ$322,6,FALSE)+O75</f>
        <v>68672</v>
      </c>
      <c r="W75" s="220">
        <f>('OPEB Amounts_Report'!H75-'OPEB Amounts_Report'!M75)</f>
        <v>-876329</v>
      </c>
      <c r="X75" s="245">
        <f t="shared" ref="X75:X139" si="11">SUM(Q75:U75)-W75</f>
        <v>0</v>
      </c>
    </row>
    <row r="76" spans="1:24" s="8" customFormat="1">
      <c r="A76" s="209">
        <v>2760</v>
      </c>
      <c r="B76" s="210" t="s">
        <v>65</v>
      </c>
      <c r="C76" s="219">
        <f t="shared" si="0"/>
        <v>-222488</v>
      </c>
      <c r="D76" s="219">
        <f t="shared" si="1"/>
        <v>-301537</v>
      </c>
      <c r="E76" s="219">
        <f t="shared" si="2"/>
        <v>-251227</v>
      </c>
      <c r="F76" s="219">
        <f t="shared" si="3"/>
        <v>-80789</v>
      </c>
      <c r="G76" s="219">
        <f t="shared" si="4"/>
        <v>-3452</v>
      </c>
      <c r="I76" s="49"/>
      <c r="K76" s="220">
        <f>ROUND(VLOOKUP($A76,'Contribution Allocation_Report'!$A$9:$D$314,4,FALSE)*$K$326,0)</f>
        <v>-189703</v>
      </c>
      <c r="L76" s="220">
        <f>ROUND(VLOOKUP($A76,'Contribution Allocation_Report'!$A$9:$D$314,4,FALSE)*$L$326,0)</f>
        <v>-260177</v>
      </c>
      <c r="M76" s="220">
        <f>ROUND(VLOOKUP($A76,'Contribution Allocation_Report'!$A$9:$D$314,4,FALSE)*$M$326,0)</f>
        <v>-170112</v>
      </c>
      <c r="N76" s="220">
        <f>ROUND(VLOOKUP($A76,'Contribution Allocation_Report'!$A$9:$D$314,4,FALSE)*$N$326,0)</f>
        <v>-43512</v>
      </c>
      <c r="O76" s="220">
        <f>ROUND(VLOOKUP($A76,'Contribution Allocation_Report'!$A$9:$D$314,4,FALSE)*$O$326,0)</f>
        <v>18731</v>
      </c>
      <c r="Q76" s="220">
        <f>+VLOOKUP(A76,'Change in Proportion Layers'!$AL$8:$AQ$322,2,FALSE)+K76</f>
        <v>-222488</v>
      </c>
      <c r="R76" s="220">
        <f>+VLOOKUP(A76,'Change in Proportion Layers'!$AL$8:$AQ$322,3,FALSE)+L76</f>
        <v>-301537</v>
      </c>
      <c r="S76" s="220">
        <f>+VLOOKUP(A76,'Change in Proportion Layers'!$AL$8:$AQ$322,4,FALSE)+M76</f>
        <v>-251227</v>
      </c>
      <c r="T76" s="220">
        <f>+VLOOKUP(A76,'Change in Proportion Layers'!$AL$8:$AQ$322,5,FALSE)+N76</f>
        <v>-80789</v>
      </c>
      <c r="U76" s="220">
        <f>+VLOOKUP(A76,'Change in Proportion Layers'!$AL$8:$AQ$322,6,FALSE)+O76-1</f>
        <v>-3452</v>
      </c>
      <c r="W76" s="220">
        <f>('OPEB Amounts_Report'!H76-'OPEB Amounts_Report'!M76)</f>
        <v>-859493</v>
      </c>
      <c r="X76" s="245">
        <f t="shared" si="11"/>
        <v>0</v>
      </c>
    </row>
    <row r="77" spans="1:24" s="8" customFormat="1">
      <c r="A77" s="211">
        <v>2780</v>
      </c>
      <c r="B77" s="212" t="s">
        <v>66</v>
      </c>
      <c r="C77" s="46">
        <f t="shared" ref="C77:C140" si="12">+Q77</f>
        <v>-33381</v>
      </c>
      <c r="D77" s="46">
        <f t="shared" ref="D77:D140" si="13">+R77</f>
        <v>-30307</v>
      </c>
      <c r="E77" s="46">
        <f t="shared" ref="E77:E140" si="14">+S77</f>
        <v>-24082</v>
      </c>
      <c r="F77" s="46">
        <f t="shared" ref="F77:F140" si="15">+T77</f>
        <v>-4021</v>
      </c>
      <c r="G77" s="46">
        <f t="shared" ref="G77:G140" si="16">+U77</f>
        <v>2763</v>
      </c>
      <c r="I77" s="49"/>
      <c r="K77" s="220">
        <f>ROUND(VLOOKUP($A77,'Contribution Allocation_Report'!$A$9:$D$314,4,FALSE)*$K$326,0)</f>
        <v>-16485</v>
      </c>
      <c r="L77" s="220">
        <f>ROUND(VLOOKUP($A77,'Contribution Allocation_Report'!$A$9:$D$314,4,FALSE)*$L$326,0)</f>
        <v>-22609</v>
      </c>
      <c r="M77" s="220">
        <f>ROUND(VLOOKUP($A77,'Contribution Allocation_Report'!$A$9:$D$314,4,FALSE)*$M$326,0)</f>
        <v>-14782</v>
      </c>
      <c r="N77" s="220">
        <f>ROUND(VLOOKUP($A77,'Contribution Allocation_Report'!$A$9:$D$314,4,FALSE)*$N$326,0)</f>
        <v>-3781</v>
      </c>
      <c r="O77" s="220">
        <f>ROUND(VLOOKUP($A77,'Contribution Allocation_Report'!$A$9:$D$314,4,FALSE)*$O$326,0)</f>
        <v>1628</v>
      </c>
      <c r="Q77" s="220">
        <f>+VLOOKUP(A77,'Change in Proportion Layers'!$AL$8:$AQ$322,2,FALSE)+K77</f>
        <v>-33381</v>
      </c>
      <c r="R77" s="220">
        <f>+VLOOKUP(A77,'Change in Proportion Layers'!$AL$8:$AQ$322,3,FALSE)+L77</f>
        <v>-30307</v>
      </c>
      <c r="S77" s="220">
        <f>+VLOOKUP(A77,'Change in Proportion Layers'!$AL$8:$AQ$322,4,FALSE)+M77</f>
        <v>-24082</v>
      </c>
      <c r="T77" s="220">
        <f>+VLOOKUP(A77,'Change in Proportion Layers'!$AL$8:$AQ$322,5,FALSE)+N77</f>
        <v>-4021</v>
      </c>
      <c r="U77" s="220">
        <f>+VLOOKUP(A77,'Change in Proportion Layers'!$AL$8:$AQ$322,6,FALSE)+O77</f>
        <v>2763</v>
      </c>
      <c r="W77" s="220">
        <f>('OPEB Amounts_Report'!H77-'OPEB Amounts_Report'!M77)</f>
        <v>-89028</v>
      </c>
      <c r="X77" s="245">
        <f t="shared" si="11"/>
        <v>0</v>
      </c>
    </row>
    <row r="78" spans="1:24" s="8" customFormat="1">
      <c r="A78" s="209">
        <v>2810</v>
      </c>
      <c r="B78" s="210" t="s">
        <v>67</v>
      </c>
      <c r="C78" s="219">
        <f t="shared" si="12"/>
        <v>-348737</v>
      </c>
      <c r="D78" s="219">
        <f t="shared" si="13"/>
        <v>-359224</v>
      </c>
      <c r="E78" s="219">
        <f t="shared" si="14"/>
        <v>-157875</v>
      </c>
      <c r="F78" s="219">
        <f t="shared" si="15"/>
        <v>-41553</v>
      </c>
      <c r="G78" s="219">
        <f t="shared" si="16"/>
        <v>2586</v>
      </c>
      <c r="I78" s="49"/>
      <c r="K78" s="220">
        <f>ROUND(VLOOKUP($A78,'Contribution Allocation_Report'!$A$9:$D$314,4,FALSE)*$K$326,0)</f>
        <v>-147000</v>
      </c>
      <c r="L78" s="220">
        <f>ROUND(VLOOKUP($A78,'Contribution Allocation_Report'!$A$9:$D$314,4,FALSE)*$L$326,0)</f>
        <v>-201610</v>
      </c>
      <c r="M78" s="220">
        <f>ROUND(VLOOKUP($A78,'Contribution Allocation_Report'!$A$9:$D$314,4,FALSE)*$M$326,0)</f>
        <v>-131819</v>
      </c>
      <c r="N78" s="220">
        <f>ROUND(VLOOKUP($A78,'Contribution Allocation_Report'!$A$9:$D$314,4,FALSE)*$N$326,0)</f>
        <v>-33718</v>
      </c>
      <c r="O78" s="220">
        <f>ROUND(VLOOKUP($A78,'Contribution Allocation_Report'!$A$9:$D$314,4,FALSE)*$O$326,0)</f>
        <v>14514</v>
      </c>
      <c r="Q78" s="220">
        <f>+VLOOKUP(A78,'Change in Proportion Layers'!$AL$8:$AQ$322,2,FALSE)+K78</f>
        <v>-348737</v>
      </c>
      <c r="R78" s="220">
        <f>+VLOOKUP(A78,'Change in Proportion Layers'!$AL$8:$AQ$322,3,FALSE)+L78</f>
        <v>-359224</v>
      </c>
      <c r="S78" s="220">
        <f>+VLOOKUP(A78,'Change in Proportion Layers'!$AL$8:$AQ$322,4,FALSE)+M78</f>
        <v>-157875</v>
      </c>
      <c r="T78" s="220">
        <f>+VLOOKUP(A78,'Change in Proportion Layers'!$AL$8:$AQ$322,5,FALSE)+N78</f>
        <v>-41553</v>
      </c>
      <c r="U78" s="220">
        <f>+VLOOKUP(A78,'Change in Proportion Layers'!$AL$8:$AQ$322,6,FALSE)+O78</f>
        <v>2586</v>
      </c>
      <c r="W78" s="220">
        <f>('OPEB Amounts_Report'!H78-'OPEB Amounts_Report'!M78)</f>
        <v>-904803</v>
      </c>
      <c r="X78" s="245">
        <f t="shared" si="11"/>
        <v>0</v>
      </c>
    </row>
    <row r="79" spans="1:24" s="8" customFormat="1">
      <c r="A79" s="211">
        <v>18056</v>
      </c>
      <c r="B79" s="212" t="s">
        <v>68</v>
      </c>
      <c r="C79" s="46">
        <f t="shared" si="12"/>
        <v>-195173</v>
      </c>
      <c r="D79" s="46">
        <f t="shared" si="13"/>
        <v>-319263</v>
      </c>
      <c r="E79" s="46">
        <f t="shared" si="14"/>
        <v>-166903</v>
      </c>
      <c r="F79" s="46">
        <f t="shared" si="15"/>
        <v>-40005</v>
      </c>
      <c r="G79" s="46">
        <f t="shared" si="16"/>
        <v>1791</v>
      </c>
      <c r="I79" s="49"/>
      <c r="K79" s="220">
        <f>ROUND(VLOOKUP($A79,'Contribution Allocation_Report'!$A$9:$D$314,4,FALSE)*$K$326,0)</f>
        <v>-188190</v>
      </c>
      <c r="L79" s="220">
        <f>ROUND(VLOOKUP($A79,'Contribution Allocation_Report'!$A$9:$D$314,4,FALSE)*$L$326,0)</f>
        <v>-258102</v>
      </c>
      <c r="M79" s="220">
        <f>ROUND(VLOOKUP($A79,'Contribution Allocation_Report'!$A$9:$D$314,4,FALSE)*$M$326,0)</f>
        <v>-168755</v>
      </c>
      <c r="N79" s="220">
        <f>ROUND(VLOOKUP($A79,'Contribution Allocation_Report'!$A$9:$D$314,4,FALSE)*$N$326,0)</f>
        <v>-43165</v>
      </c>
      <c r="O79" s="220">
        <f>ROUND(VLOOKUP($A79,'Contribution Allocation_Report'!$A$9:$D$314,4,FALSE)*$O$326,0)</f>
        <v>18581</v>
      </c>
      <c r="Q79" s="220">
        <f>+VLOOKUP(A79,'Change in Proportion Layers'!$AL$8:$AQ$322,2,FALSE)+K79</f>
        <v>-195173</v>
      </c>
      <c r="R79" s="220">
        <f>+VLOOKUP(A79,'Change in Proportion Layers'!$AL$8:$AQ$322,3,FALSE)+L79</f>
        <v>-319263</v>
      </c>
      <c r="S79" s="220">
        <f>+VLOOKUP(A79,'Change in Proportion Layers'!$AL$8:$AQ$322,4,FALSE)+M79</f>
        <v>-166903</v>
      </c>
      <c r="T79" s="220">
        <f>+VLOOKUP(A79,'Change in Proportion Layers'!$AL$8:$AQ$322,5,FALSE)+N79</f>
        <v>-40005</v>
      </c>
      <c r="U79" s="220">
        <f>+VLOOKUP(A79,'Change in Proportion Layers'!$AL$8:$AQ$322,6,FALSE)+O79-1</f>
        <v>1791</v>
      </c>
      <c r="W79" s="220">
        <f>('OPEB Amounts_Report'!H79-'OPEB Amounts_Report'!M79)</f>
        <v>-719553</v>
      </c>
      <c r="X79" s="245">
        <f t="shared" si="11"/>
        <v>0</v>
      </c>
    </row>
    <row r="80" spans="1:24" s="8" customFormat="1">
      <c r="A80" s="209">
        <v>15047</v>
      </c>
      <c r="B80" s="210" t="s">
        <v>69</v>
      </c>
      <c r="C80" s="219">
        <f t="shared" si="12"/>
        <v>-58777</v>
      </c>
      <c r="D80" s="219">
        <f t="shared" si="13"/>
        <v>-181160</v>
      </c>
      <c r="E80" s="219">
        <f t="shared" si="14"/>
        <v>-146855</v>
      </c>
      <c r="F80" s="219">
        <f t="shared" si="15"/>
        <v>-79081</v>
      </c>
      <c r="G80" s="219">
        <f t="shared" si="16"/>
        <v>-25952</v>
      </c>
      <c r="I80" s="49"/>
      <c r="K80" s="220">
        <f>ROUND(VLOOKUP($A80,'Contribution Allocation_Report'!$A$9:$D$314,4,FALSE)*$K$326,0)</f>
        <v>-170427</v>
      </c>
      <c r="L80" s="220">
        <f>ROUND(VLOOKUP($A80,'Contribution Allocation_Report'!$A$9:$D$314,4,FALSE)*$L$326,0)</f>
        <v>-233740</v>
      </c>
      <c r="M80" s="220">
        <f>ROUND(VLOOKUP($A80,'Contribution Allocation_Report'!$A$9:$D$314,4,FALSE)*$M$326,0)</f>
        <v>-152827</v>
      </c>
      <c r="N80" s="220">
        <f>ROUND(VLOOKUP($A80,'Contribution Allocation_Report'!$A$9:$D$314,4,FALSE)*$N$326,0)</f>
        <v>-39091</v>
      </c>
      <c r="O80" s="220">
        <f>ROUND(VLOOKUP($A80,'Contribution Allocation_Report'!$A$9:$D$314,4,FALSE)*$O$326,0)</f>
        <v>16827</v>
      </c>
      <c r="Q80" s="220">
        <f>+VLOOKUP(A80,'Change in Proportion Layers'!$AL$8:$AQ$322,2,FALSE)+K80</f>
        <v>-58777</v>
      </c>
      <c r="R80" s="220">
        <f>+VLOOKUP(A80,'Change in Proportion Layers'!$AL$8:$AQ$322,3,FALSE)+L80</f>
        <v>-181160</v>
      </c>
      <c r="S80" s="220">
        <f>+VLOOKUP(A80,'Change in Proportion Layers'!$AL$8:$AQ$322,4,FALSE)+M80</f>
        <v>-146855</v>
      </c>
      <c r="T80" s="220">
        <f>+VLOOKUP(A80,'Change in Proportion Layers'!$AL$8:$AQ$322,5,FALSE)+N80</f>
        <v>-79081</v>
      </c>
      <c r="U80" s="220">
        <f>+VLOOKUP(A80,'Change in Proportion Layers'!$AL$8:$AQ$322,6,FALSE)+O80+1</f>
        <v>-25952</v>
      </c>
      <c r="W80" s="220">
        <f>('OPEB Amounts_Report'!H80-'OPEB Amounts_Report'!M80)</f>
        <v>-491825</v>
      </c>
      <c r="X80" s="245">
        <f t="shared" si="11"/>
        <v>0</v>
      </c>
    </row>
    <row r="81" spans="1:24" s="8" customFormat="1">
      <c r="A81" s="209">
        <v>5012</v>
      </c>
      <c r="B81" s="210" t="s">
        <v>70</v>
      </c>
      <c r="C81" s="47">
        <f t="shared" si="12"/>
        <v>-2291739</v>
      </c>
      <c r="D81" s="47">
        <f t="shared" si="13"/>
        <v>-3587046</v>
      </c>
      <c r="E81" s="47">
        <f t="shared" si="14"/>
        <v>-2471434</v>
      </c>
      <c r="F81" s="47">
        <f t="shared" si="15"/>
        <v>-343555</v>
      </c>
      <c r="G81" s="47">
        <f t="shared" si="16"/>
        <v>513021</v>
      </c>
      <c r="I81" s="49"/>
      <c r="K81" s="220">
        <f>ROUND(VLOOKUP($A81,'Contribution Allocation_Report'!$A$9:$D$314,4,FALSE)*$K$326,0)</f>
        <v>-2951581</v>
      </c>
      <c r="L81" s="220">
        <f>ROUND(VLOOKUP($A81,'Contribution Allocation_Report'!$A$9:$D$314,4,FALSE)*$L$326,0)</f>
        <v>-4048083</v>
      </c>
      <c r="M81" s="220">
        <f>ROUND(VLOOKUP($A81,'Contribution Allocation_Report'!$A$9:$D$314,4,FALSE)*$M$326,0)</f>
        <v>-2646766</v>
      </c>
      <c r="N81" s="220">
        <f>ROUND(VLOOKUP($A81,'Contribution Allocation_Report'!$A$9:$D$314,4,FALSE)*$N$326,0)</f>
        <v>-677005</v>
      </c>
      <c r="O81" s="220">
        <f>ROUND(VLOOKUP($A81,'Contribution Allocation_Report'!$A$9:$D$314,4,FALSE)*$O$326,0)</f>
        <v>291430</v>
      </c>
      <c r="Q81" s="220">
        <f>+VLOOKUP(A81,'Change in Proportion Layers'!$AL$8:$AQ$322,2,FALSE)+K81</f>
        <v>-2291739</v>
      </c>
      <c r="R81" s="220">
        <f>+VLOOKUP(A81,'Change in Proportion Layers'!$AL$8:$AQ$322,3,FALSE)+L81</f>
        <v>-3587046</v>
      </c>
      <c r="S81" s="220">
        <f>+VLOOKUP(A81,'Change in Proportion Layers'!$AL$8:$AQ$322,4,FALSE)+M81</f>
        <v>-2471434</v>
      </c>
      <c r="T81" s="220">
        <f>+VLOOKUP(A81,'Change in Proportion Layers'!$AL$8:$AQ$322,5,FALSE)+N81</f>
        <v>-343555</v>
      </c>
      <c r="U81" s="220">
        <f>+VLOOKUP(A81,'Change in Proportion Layers'!$AL$8:$AQ$322,6,FALSE)+O81+1</f>
        <v>513021</v>
      </c>
      <c r="W81" s="220">
        <f>('OPEB Amounts_Report'!H81-'OPEB Amounts_Report'!M81)</f>
        <v>-8180753</v>
      </c>
      <c r="X81" s="245">
        <f t="shared" si="11"/>
        <v>0</v>
      </c>
    </row>
    <row r="82" spans="1:24" s="8" customFormat="1">
      <c r="A82" s="211">
        <v>8024</v>
      </c>
      <c r="B82" s="212" t="s">
        <v>71</v>
      </c>
      <c r="C82" s="46">
        <f t="shared" si="12"/>
        <v>-853975</v>
      </c>
      <c r="D82" s="46">
        <f t="shared" si="13"/>
        <v>-914206</v>
      </c>
      <c r="E82" s="46">
        <f t="shared" si="14"/>
        <v>-600301</v>
      </c>
      <c r="F82" s="46">
        <f t="shared" si="15"/>
        <v>-137911</v>
      </c>
      <c r="G82" s="46">
        <f t="shared" si="16"/>
        <v>304</v>
      </c>
      <c r="I82" s="49"/>
      <c r="K82" s="220">
        <f>ROUND(VLOOKUP($A82,'Contribution Allocation_Report'!$A$9:$D$314,4,FALSE)*$K$326,0)</f>
        <v>-556529</v>
      </c>
      <c r="L82" s="220">
        <f>ROUND(VLOOKUP($A82,'Contribution Allocation_Report'!$A$9:$D$314,4,FALSE)*$L$326,0)</f>
        <v>-763278</v>
      </c>
      <c r="M82" s="220">
        <f>ROUND(VLOOKUP($A82,'Contribution Allocation_Report'!$A$9:$D$314,4,FALSE)*$M$326,0)</f>
        <v>-499056</v>
      </c>
      <c r="N82" s="220">
        <f>ROUND(VLOOKUP($A82,'Contribution Allocation_Report'!$A$9:$D$314,4,FALSE)*$N$326,0)</f>
        <v>-127651</v>
      </c>
      <c r="O82" s="220">
        <f>ROUND(VLOOKUP($A82,'Contribution Allocation_Report'!$A$9:$D$314,4,FALSE)*$O$326,0)</f>
        <v>54950</v>
      </c>
      <c r="Q82" s="220">
        <f>+VLOOKUP(A82,'Change in Proportion Layers'!$AL$8:$AQ$322,2,FALSE)+K82</f>
        <v>-853975</v>
      </c>
      <c r="R82" s="220">
        <f>+VLOOKUP(A82,'Change in Proportion Layers'!$AL$8:$AQ$322,3,FALSE)+L82</f>
        <v>-914206</v>
      </c>
      <c r="S82" s="220">
        <f>+VLOOKUP(A82,'Change in Proportion Layers'!$AL$8:$AQ$322,4,FALSE)+M82</f>
        <v>-600301</v>
      </c>
      <c r="T82" s="220">
        <f>+VLOOKUP(A82,'Change in Proportion Layers'!$AL$8:$AQ$322,5,FALSE)+N82</f>
        <v>-137911</v>
      </c>
      <c r="U82" s="220">
        <f>+VLOOKUP(A82,'Change in Proportion Layers'!$AL$8:$AQ$322,6,FALSE)+O82-1</f>
        <v>304</v>
      </c>
      <c r="W82" s="220">
        <f>('OPEB Amounts_Report'!H82-'OPEB Amounts_Report'!M82)</f>
        <v>-2506089</v>
      </c>
      <c r="X82" s="245">
        <f t="shared" si="11"/>
        <v>0</v>
      </c>
    </row>
    <row r="83" spans="1:24" s="8" customFormat="1">
      <c r="A83" s="209">
        <v>3050</v>
      </c>
      <c r="B83" s="210" t="s">
        <v>72</v>
      </c>
      <c r="C83" s="219">
        <f t="shared" si="12"/>
        <v>-204906</v>
      </c>
      <c r="D83" s="219">
        <f t="shared" si="13"/>
        <v>-255481</v>
      </c>
      <c r="E83" s="219">
        <f t="shared" si="14"/>
        <v>-164881</v>
      </c>
      <c r="F83" s="219">
        <f t="shared" si="15"/>
        <v>-10592</v>
      </c>
      <c r="G83" s="219">
        <f t="shared" si="16"/>
        <v>17068</v>
      </c>
      <c r="I83" s="49"/>
      <c r="K83" s="220">
        <f>ROUND(VLOOKUP($A83,'Contribution Allocation_Report'!$A$9:$D$314,4,FALSE)*$K$326,0)</f>
        <v>-207133</v>
      </c>
      <c r="L83" s="220">
        <f>ROUND(VLOOKUP($A83,'Contribution Allocation_Report'!$A$9:$D$314,4,FALSE)*$L$326,0)</f>
        <v>-284082</v>
      </c>
      <c r="M83" s="220">
        <f>ROUND(VLOOKUP($A83,'Contribution Allocation_Report'!$A$9:$D$314,4,FALSE)*$M$326,0)</f>
        <v>-185742</v>
      </c>
      <c r="N83" s="220">
        <f>ROUND(VLOOKUP($A83,'Contribution Allocation_Report'!$A$9:$D$314,4,FALSE)*$N$326,0)</f>
        <v>-47510</v>
      </c>
      <c r="O83" s="220">
        <f>ROUND(VLOOKUP($A83,'Contribution Allocation_Report'!$A$9:$D$314,4,FALSE)*$O$326,0)</f>
        <v>20452</v>
      </c>
      <c r="Q83" s="220">
        <f>+VLOOKUP(A83,'Change in Proportion Layers'!$AL$8:$AQ$322,2,FALSE)+K83</f>
        <v>-204906</v>
      </c>
      <c r="R83" s="220">
        <f>+VLOOKUP(A83,'Change in Proportion Layers'!$AL$8:$AQ$322,3,FALSE)+L83</f>
        <v>-255481</v>
      </c>
      <c r="S83" s="220">
        <f>+VLOOKUP(A83,'Change in Proportion Layers'!$AL$8:$AQ$322,4,FALSE)+M83</f>
        <v>-164881</v>
      </c>
      <c r="T83" s="220">
        <f>+VLOOKUP(A83,'Change in Proportion Layers'!$AL$8:$AQ$322,5,FALSE)+N83</f>
        <v>-10592</v>
      </c>
      <c r="U83" s="220">
        <f>+VLOOKUP(A83,'Change in Proportion Layers'!$AL$8:$AQ$322,6,FALSE)+O83</f>
        <v>17068</v>
      </c>
      <c r="W83" s="220">
        <f>('OPEB Amounts_Report'!H83-'OPEB Amounts_Report'!M83)</f>
        <v>-618792</v>
      </c>
      <c r="X83" s="245">
        <f t="shared" si="11"/>
        <v>0</v>
      </c>
    </row>
    <row r="84" spans="1:24" s="8" customFormat="1">
      <c r="A84" s="211">
        <v>2421</v>
      </c>
      <c r="B84" s="212" t="s">
        <v>73</v>
      </c>
      <c r="C84" s="46">
        <f t="shared" si="12"/>
        <v>-69576</v>
      </c>
      <c r="D84" s="46">
        <f t="shared" si="13"/>
        <v>-86584</v>
      </c>
      <c r="E84" s="46">
        <f t="shared" si="14"/>
        <v>-63901</v>
      </c>
      <c r="F84" s="46">
        <f t="shared" si="15"/>
        <v>-48069</v>
      </c>
      <c r="G84" s="46">
        <f t="shared" si="16"/>
        <v>-13391</v>
      </c>
      <c r="I84" s="49"/>
      <c r="K84" s="220">
        <f>ROUND(VLOOKUP($A84,'Contribution Allocation_Report'!$A$9:$D$314,4,FALSE)*$K$326,0)</f>
        <v>-68118</v>
      </c>
      <c r="L84" s="220">
        <f>ROUND(VLOOKUP($A84,'Contribution Allocation_Report'!$A$9:$D$314,4,FALSE)*$L$326,0)</f>
        <v>-93424</v>
      </c>
      <c r="M84" s="220">
        <f>ROUND(VLOOKUP($A84,'Contribution Allocation_Report'!$A$9:$D$314,4,FALSE)*$M$326,0)</f>
        <v>-61083</v>
      </c>
      <c r="N84" s="220">
        <f>ROUND(VLOOKUP($A84,'Contribution Allocation_Report'!$A$9:$D$314,4,FALSE)*$N$326,0)</f>
        <v>-15624</v>
      </c>
      <c r="O84" s="220">
        <f>ROUND(VLOOKUP($A84,'Contribution Allocation_Report'!$A$9:$D$314,4,FALSE)*$O$326,0)</f>
        <v>6726</v>
      </c>
      <c r="Q84" s="220">
        <f>+VLOOKUP(A84,'Change in Proportion Layers'!$AL$8:$AQ$322,2,FALSE)+K84</f>
        <v>-69576</v>
      </c>
      <c r="R84" s="220">
        <f>+VLOOKUP(A84,'Change in Proportion Layers'!$AL$8:$AQ$322,3,FALSE)+L84</f>
        <v>-86584</v>
      </c>
      <c r="S84" s="220">
        <f>+VLOOKUP(A84,'Change in Proportion Layers'!$AL$8:$AQ$322,4,FALSE)+M84</f>
        <v>-63901</v>
      </c>
      <c r="T84" s="220">
        <f>+VLOOKUP(A84,'Change in Proportion Layers'!$AL$8:$AQ$322,5,FALSE)+N84</f>
        <v>-48069</v>
      </c>
      <c r="U84" s="220">
        <f>+VLOOKUP(A84,'Change in Proportion Layers'!$AL$8:$AQ$322,6,FALSE)+O84</f>
        <v>-13391</v>
      </c>
      <c r="W84" s="220">
        <f>('OPEB Amounts_Report'!H84-'OPEB Amounts_Report'!M84)</f>
        <v>-281521</v>
      </c>
      <c r="X84" s="245">
        <f t="shared" si="11"/>
        <v>0</v>
      </c>
    </row>
    <row r="85" spans="1:24" s="8" customFormat="1">
      <c r="A85" s="209">
        <v>26079</v>
      </c>
      <c r="B85" s="210" t="s">
        <v>74</v>
      </c>
      <c r="C85" s="219">
        <f t="shared" si="12"/>
        <v>-54989</v>
      </c>
      <c r="D85" s="219">
        <f t="shared" si="13"/>
        <v>-79344</v>
      </c>
      <c r="E85" s="219">
        <f t="shared" si="14"/>
        <v>-48012</v>
      </c>
      <c r="F85" s="219">
        <f t="shared" si="15"/>
        <v>2858</v>
      </c>
      <c r="G85" s="219">
        <f t="shared" si="16"/>
        <v>22292</v>
      </c>
      <c r="I85" s="49"/>
      <c r="K85" s="220">
        <f>ROUND(VLOOKUP($A85,'Contribution Allocation_Report'!$A$9:$D$314,4,FALSE)*$K$326,0)</f>
        <v>-72385</v>
      </c>
      <c r="L85" s="220">
        <f>ROUND(VLOOKUP($A85,'Contribution Allocation_Report'!$A$9:$D$314,4,FALSE)*$L$326,0)</f>
        <v>-99276</v>
      </c>
      <c r="M85" s="220">
        <f>ROUND(VLOOKUP($A85,'Contribution Allocation_Report'!$A$9:$D$314,4,FALSE)*$M$326,0)</f>
        <v>-64910</v>
      </c>
      <c r="N85" s="220">
        <f>ROUND(VLOOKUP($A85,'Contribution Allocation_Report'!$A$9:$D$314,4,FALSE)*$N$326,0)</f>
        <v>-16603</v>
      </c>
      <c r="O85" s="220">
        <f>ROUND(VLOOKUP($A85,'Contribution Allocation_Report'!$A$9:$D$314,4,FALSE)*$O$326,0)</f>
        <v>7147</v>
      </c>
      <c r="Q85" s="220">
        <f>+VLOOKUP(A85,'Change in Proportion Layers'!$AL$8:$AQ$322,2,FALSE)+K85</f>
        <v>-54989</v>
      </c>
      <c r="R85" s="220">
        <f>+VLOOKUP(A85,'Change in Proportion Layers'!$AL$8:$AQ$322,3,FALSE)+L85</f>
        <v>-79344</v>
      </c>
      <c r="S85" s="220">
        <f>+VLOOKUP(A85,'Change in Proportion Layers'!$AL$8:$AQ$322,4,FALSE)+M85</f>
        <v>-48012</v>
      </c>
      <c r="T85" s="220">
        <f>+VLOOKUP(A85,'Change in Proportion Layers'!$AL$8:$AQ$322,5,FALSE)+N85</f>
        <v>2858</v>
      </c>
      <c r="U85" s="220">
        <f>+VLOOKUP(A85,'Change in Proportion Layers'!$AL$8:$AQ$322,6,FALSE)+O85</f>
        <v>22292</v>
      </c>
      <c r="W85" s="220">
        <f>('OPEB Amounts_Report'!H85-'OPEB Amounts_Report'!M85)</f>
        <v>-157195</v>
      </c>
      <c r="X85" s="245">
        <f t="shared" si="11"/>
        <v>0</v>
      </c>
    </row>
    <row r="86" spans="1:24" s="8" customFormat="1">
      <c r="A86" s="211">
        <v>2363</v>
      </c>
      <c r="B86" s="212" t="s">
        <v>75</v>
      </c>
      <c r="C86" s="46">
        <f t="shared" si="12"/>
        <v>-78533</v>
      </c>
      <c r="D86" s="46">
        <f t="shared" si="13"/>
        <v>-107477</v>
      </c>
      <c r="E86" s="46">
        <f t="shared" si="14"/>
        <v>-75150</v>
      </c>
      <c r="F86" s="46">
        <f t="shared" si="15"/>
        <v>-16922</v>
      </c>
      <c r="G86" s="46">
        <f t="shared" si="16"/>
        <v>5868</v>
      </c>
      <c r="I86" s="49"/>
      <c r="K86" s="220">
        <f>ROUND(VLOOKUP($A86,'Contribution Allocation_Report'!$A$9:$D$314,4,FALSE)*$K$326,0)</f>
        <v>-82274</v>
      </c>
      <c r="L86" s="220">
        <f>ROUND(VLOOKUP($A86,'Contribution Allocation_Report'!$A$9:$D$314,4,FALSE)*$L$326,0)</f>
        <v>-112839</v>
      </c>
      <c r="M86" s="220">
        <f>ROUND(VLOOKUP($A86,'Contribution Allocation_Report'!$A$9:$D$314,4,FALSE)*$M$326,0)</f>
        <v>-73778</v>
      </c>
      <c r="N86" s="220">
        <f>ROUND(VLOOKUP($A86,'Contribution Allocation_Report'!$A$9:$D$314,4,FALSE)*$N$326,0)</f>
        <v>-18871</v>
      </c>
      <c r="O86" s="220">
        <f>ROUND(VLOOKUP($A86,'Contribution Allocation_Report'!$A$9:$D$314,4,FALSE)*$O$326,0)</f>
        <v>8124</v>
      </c>
      <c r="Q86" s="220">
        <f>+VLOOKUP(A86,'Change in Proportion Layers'!$AL$8:$AQ$322,2,FALSE)+K86</f>
        <v>-78533</v>
      </c>
      <c r="R86" s="220">
        <f>+VLOOKUP(A86,'Change in Proportion Layers'!$AL$8:$AQ$322,3,FALSE)+L86</f>
        <v>-107477</v>
      </c>
      <c r="S86" s="220">
        <f>+VLOOKUP(A86,'Change in Proportion Layers'!$AL$8:$AQ$322,4,FALSE)+M86</f>
        <v>-75150</v>
      </c>
      <c r="T86" s="220">
        <f>+VLOOKUP(A86,'Change in Proportion Layers'!$AL$8:$AQ$322,5,FALSE)+N86</f>
        <v>-16922</v>
      </c>
      <c r="U86" s="220">
        <f>+VLOOKUP(A86,'Change in Proportion Layers'!$AL$8:$AQ$322,6,FALSE)+O86-1</f>
        <v>5868</v>
      </c>
      <c r="W86" s="220">
        <f>('OPEB Amounts_Report'!H86-'OPEB Amounts_Report'!M86)</f>
        <v>-272214</v>
      </c>
      <c r="X86" s="245">
        <f t="shared" si="11"/>
        <v>0</v>
      </c>
    </row>
    <row r="87" spans="1:24" s="8" customFormat="1">
      <c r="A87" s="209">
        <v>2364</v>
      </c>
      <c r="B87" s="210" t="s">
        <v>76</v>
      </c>
      <c r="C87" s="219">
        <f t="shared" si="12"/>
        <v>-57050</v>
      </c>
      <c r="D87" s="219">
        <f t="shared" si="13"/>
        <v>-170101</v>
      </c>
      <c r="E87" s="219">
        <f t="shared" si="14"/>
        <v>-117493</v>
      </c>
      <c r="F87" s="219">
        <f t="shared" si="15"/>
        <v>-31842</v>
      </c>
      <c r="G87" s="219">
        <f t="shared" si="16"/>
        <v>38415</v>
      </c>
      <c r="I87" s="49"/>
      <c r="K87" s="220">
        <f>ROUND(VLOOKUP($A87,'Contribution Allocation_Report'!$A$9:$D$314,4,FALSE)*$K$326,0)</f>
        <v>-267989</v>
      </c>
      <c r="L87" s="220">
        <f>ROUND(VLOOKUP($A87,'Contribution Allocation_Report'!$A$9:$D$314,4,FALSE)*$L$326,0)</f>
        <v>-367546</v>
      </c>
      <c r="M87" s="220">
        <f>ROUND(VLOOKUP($A87,'Contribution Allocation_Report'!$A$9:$D$314,4,FALSE)*$M$326,0)</f>
        <v>-240313</v>
      </c>
      <c r="N87" s="220">
        <f>ROUND(VLOOKUP($A87,'Contribution Allocation_Report'!$A$9:$D$314,4,FALSE)*$N$326,0)</f>
        <v>-61469</v>
      </c>
      <c r="O87" s="220">
        <f>ROUND(VLOOKUP($A87,'Contribution Allocation_Report'!$A$9:$D$314,4,FALSE)*$O$326,0)</f>
        <v>26460</v>
      </c>
      <c r="Q87" s="220">
        <f>+VLOOKUP(A87,'Change in Proportion Layers'!$AL$8:$AQ$322,2,FALSE)+K87</f>
        <v>-57050</v>
      </c>
      <c r="R87" s="220">
        <f>+VLOOKUP(A87,'Change in Proportion Layers'!$AL$8:$AQ$322,3,FALSE)+L87</f>
        <v>-170101</v>
      </c>
      <c r="S87" s="220">
        <f>+VLOOKUP(A87,'Change in Proportion Layers'!$AL$8:$AQ$322,4,FALSE)+M87</f>
        <v>-117493</v>
      </c>
      <c r="T87" s="220">
        <f>+VLOOKUP(A87,'Change in Proportion Layers'!$AL$8:$AQ$322,5,FALSE)+N87</f>
        <v>-31842</v>
      </c>
      <c r="U87" s="220">
        <f>+VLOOKUP(A87,'Change in Proportion Layers'!$AL$8:$AQ$322,6,FALSE)+O87+2</f>
        <v>38415</v>
      </c>
      <c r="W87" s="220">
        <f>('OPEB Amounts_Report'!H87-'OPEB Amounts_Report'!M87)</f>
        <v>-338071</v>
      </c>
      <c r="X87" s="245">
        <f t="shared" si="11"/>
        <v>0</v>
      </c>
    </row>
    <row r="88" spans="1:24" s="8" customFormat="1">
      <c r="A88" s="211">
        <v>25319</v>
      </c>
      <c r="B88" s="212" t="s">
        <v>77</v>
      </c>
      <c r="C88" s="46">
        <f t="shared" si="12"/>
        <v>-56414</v>
      </c>
      <c r="D88" s="46">
        <f t="shared" si="13"/>
        <v>-81971</v>
      </c>
      <c r="E88" s="46">
        <f t="shared" si="14"/>
        <v>-74398</v>
      </c>
      <c r="F88" s="46">
        <f t="shared" si="15"/>
        <v>-35606</v>
      </c>
      <c r="G88" s="46">
        <f t="shared" si="16"/>
        <v>2567</v>
      </c>
      <c r="I88" s="49"/>
      <c r="K88" s="220">
        <f>ROUND(VLOOKUP($A88,'Contribution Allocation_Report'!$A$9:$D$314,4,FALSE)*$K$326,0)</f>
        <v>-53763</v>
      </c>
      <c r="L88" s="220">
        <f>ROUND(VLOOKUP($A88,'Contribution Allocation_Report'!$A$9:$D$314,4,FALSE)*$L$326,0)</f>
        <v>-73735</v>
      </c>
      <c r="M88" s="220">
        <f>ROUND(VLOOKUP($A88,'Contribution Allocation_Report'!$A$9:$D$314,4,FALSE)*$M$326,0)</f>
        <v>-48210</v>
      </c>
      <c r="N88" s="220">
        <f>ROUND(VLOOKUP($A88,'Contribution Allocation_Report'!$A$9:$D$314,4,FALSE)*$N$326,0)</f>
        <v>-12332</v>
      </c>
      <c r="O88" s="220">
        <f>ROUND(VLOOKUP($A88,'Contribution Allocation_Report'!$A$9:$D$314,4,FALSE)*$O$326,0)</f>
        <v>5308</v>
      </c>
      <c r="Q88" s="220">
        <f>+VLOOKUP(A88,'Change in Proportion Layers'!$AL$8:$AQ$322,2,FALSE)+K88</f>
        <v>-56414</v>
      </c>
      <c r="R88" s="220">
        <f>+VLOOKUP(A88,'Change in Proportion Layers'!$AL$8:$AQ$322,3,FALSE)+L88</f>
        <v>-81971</v>
      </c>
      <c r="S88" s="220">
        <f>+VLOOKUP(A88,'Change in Proportion Layers'!$AL$8:$AQ$322,4,FALSE)+M88</f>
        <v>-74398</v>
      </c>
      <c r="T88" s="220">
        <f>+VLOOKUP(A88,'Change in Proportion Layers'!$AL$8:$AQ$322,5,FALSE)+N88</f>
        <v>-35606</v>
      </c>
      <c r="U88" s="220">
        <f>+VLOOKUP(A88,'Change in Proportion Layers'!$AL$8:$AQ$322,6,FALSE)+O88</f>
        <v>2567</v>
      </c>
      <c r="W88" s="220">
        <f>('OPEB Amounts_Report'!H88-'OPEB Amounts_Report'!M88)</f>
        <v>-245822</v>
      </c>
      <c r="X88" s="245">
        <f t="shared" si="11"/>
        <v>0</v>
      </c>
    </row>
    <row r="89" spans="1:24" s="8" customFormat="1">
      <c r="A89" s="209">
        <v>29087</v>
      </c>
      <c r="B89" s="210" t="s">
        <v>78</v>
      </c>
      <c r="C89" s="219">
        <f t="shared" si="12"/>
        <v>-21403</v>
      </c>
      <c r="D89" s="219">
        <f t="shared" si="13"/>
        <v>-408206</v>
      </c>
      <c r="E89" s="219">
        <f t="shared" si="14"/>
        <v>-124777</v>
      </c>
      <c r="F89" s="219">
        <f t="shared" si="15"/>
        <v>120928</v>
      </c>
      <c r="G89" s="219">
        <f t="shared" si="16"/>
        <v>121510</v>
      </c>
      <c r="I89" s="49"/>
      <c r="K89" s="220">
        <f>ROUND(VLOOKUP($A89,'Contribution Allocation_Report'!$A$9:$D$314,4,FALSE)*$K$326,0)</f>
        <v>-537313</v>
      </c>
      <c r="L89" s="220">
        <f>ROUND(VLOOKUP($A89,'Contribution Allocation_Report'!$A$9:$D$314,4,FALSE)*$L$326,0)</f>
        <v>-736923</v>
      </c>
      <c r="M89" s="220">
        <f>ROUND(VLOOKUP($A89,'Contribution Allocation_Report'!$A$9:$D$314,4,FALSE)*$M$326,0)</f>
        <v>-481823</v>
      </c>
      <c r="N89" s="220">
        <f>ROUND(VLOOKUP($A89,'Contribution Allocation_Report'!$A$9:$D$314,4,FALSE)*$N$326,0)</f>
        <v>-123244</v>
      </c>
      <c r="O89" s="220">
        <f>ROUND(VLOOKUP($A89,'Contribution Allocation_Report'!$A$9:$D$314,4,FALSE)*$O$326,0)</f>
        <v>53053</v>
      </c>
      <c r="Q89" s="220">
        <f>+VLOOKUP(A89,'Change in Proportion Layers'!$AL$8:$AQ$322,2,FALSE)+K89</f>
        <v>-21403</v>
      </c>
      <c r="R89" s="220">
        <f>+VLOOKUP(A89,'Change in Proportion Layers'!$AL$8:$AQ$322,3,FALSE)+L89</f>
        <v>-408206</v>
      </c>
      <c r="S89" s="220">
        <f>+VLOOKUP(A89,'Change in Proportion Layers'!$AL$8:$AQ$322,4,FALSE)+M89</f>
        <v>-124777</v>
      </c>
      <c r="T89" s="220">
        <f>+VLOOKUP(A89,'Change in Proportion Layers'!$AL$8:$AQ$322,5,FALSE)+N89</f>
        <v>120928</v>
      </c>
      <c r="U89" s="220">
        <f>+VLOOKUP(A89,'Change in Proportion Layers'!$AL$8:$AQ$322,6,FALSE)+O89+1</f>
        <v>121510</v>
      </c>
      <c r="W89" s="220">
        <f>('OPEB Amounts_Report'!H89-'OPEB Amounts_Report'!M89)</f>
        <v>-311948</v>
      </c>
      <c r="X89" s="245">
        <f t="shared" si="11"/>
        <v>0</v>
      </c>
    </row>
    <row r="90" spans="1:24" s="8" customFormat="1">
      <c r="A90" s="211">
        <v>3060</v>
      </c>
      <c r="B90" s="212" t="s">
        <v>79</v>
      </c>
      <c r="C90" s="46">
        <f t="shared" si="12"/>
        <v>-450804</v>
      </c>
      <c r="D90" s="46">
        <f t="shared" si="13"/>
        <v>-572270</v>
      </c>
      <c r="E90" s="46">
        <f t="shared" si="14"/>
        <v>-329985</v>
      </c>
      <c r="F90" s="46">
        <f t="shared" si="15"/>
        <v>-85491</v>
      </c>
      <c r="G90" s="46">
        <f t="shared" si="16"/>
        <v>26216</v>
      </c>
      <c r="I90" s="49"/>
      <c r="K90" s="220">
        <f>ROUND(VLOOKUP($A90,'Contribution Allocation_Report'!$A$9:$D$314,4,FALSE)*$K$326,0)</f>
        <v>-312182</v>
      </c>
      <c r="L90" s="220">
        <f>ROUND(VLOOKUP($A90,'Contribution Allocation_Report'!$A$9:$D$314,4,FALSE)*$L$326,0)</f>
        <v>-428157</v>
      </c>
      <c r="M90" s="220">
        <f>ROUND(VLOOKUP($A90,'Contribution Allocation_Report'!$A$9:$D$314,4,FALSE)*$M$326,0)</f>
        <v>-279943</v>
      </c>
      <c r="N90" s="220">
        <f>ROUND(VLOOKUP($A90,'Contribution Allocation_Report'!$A$9:$D$314,4,FALSE)*$N$326,0)</f>
        <v>-71605</v>
      </c>
      <c r="O90" s="220">
        <f>ROUND(VLOOKUP($A90,'Contribution Allocation_Report'!$A$9:$D$314,4,FALSE)*$O$326,0)</f>
        <v>30824</v>
      </c>
      <c r="Q90" s="220">
        <f>+VLOOKUP(A90,'Change in Proportion Layers'!$AL$8:$AQ$322,2,FALSE)+K90</f>
        <v>-450804</v>
      </c>
      <c r="R90" s="220">
        <f>+VLOOKUP(A90,'Change in Proportion Layers'!$AL$8:$AQ$322,3,FALSE)+L90</f>
        <v>-572270</v>
      </c>
      <c r="S90" s="220">
        <f>+VLOOKUP(A90,'Change in Proportion Layers'!$AL$8:$AQ$322,4,FALSE)+M90</f>
        <v>-329985</v>
      </c>
      <c r="T90" s="220">
        <f>+VLOOKUP(A90,'Change in Proportion Layers'!$AL$8:$AQ$322,5,FALSE)+N90</f>
        <v>-85491</v>
      </c>
      <c r="U90" s="220">
        <f>+VLOOKUP(A90,'Change in Proportion Layers'!$AL$8:$AQ$322,6,FALSE)+O90-1</f>
        <v>26216</v>
      </c>
      <c r="W90" s="220">
        <f>('OPEB Amounts_Report'!H90-'OPEB Amounts_Report'!M90)</f>
        <v>-1412334</v>
      </c>
      <c r="X90" s="245">
        <f t="shared" si="11"/>
        <v>0</v>
      </c>
    </row>
    <row r="91" spans="1:24" s="8" customFormat="1">
      <c r="A91" s="209">
        <v>19301</v>
      </c>
      <c r="B91" s="210" t="s">
        <v>80</v>
      </c>
      <c r="C91" s="219">
        <f t="shared" si="12"/>
        <v>-61811</v>
      </c>
      <c r="D91" s="219">
        <f t="shared" si="13"/>
        <v>-55273</v>
      </c>
      <c r="E91" s="219">
        <f t="shared" si="14"/>
        <v>-28609</v>
      </c>
      <c r="F91" s="219">
        <f t="shared" si="15"/>
        <v>-6554</v>
      </c>
      <c r="G91" s="219">
        <f t="shared" si="16"/>
        <v>9591</v>
      </c>
      <c r="I91" s="49"/>
      <c r="K91" s="220">
        <f>ROUND(VLOOKUP($A91,'Contribution Allocation_Report'!$A$9:$D$314,4,FALSE)*$K$326,0)</f>
        <v>-61446</v>
      </c>
      <c r="L91" s="220">
        <f>ROUND(VLOOKUP($A91,'Contribution Allocation_Report'!$A$9:$D$314,4,FALSE)*$L$326,0)</f>
        <v>-84273</v>
      </c>
      <c r="M91" s="220">
        <f>ROUND(VLOOKUP($A91,'Contribution Allocation_Report'!$A$9:$D$314,4,FALSE)*$M$326,0)</f>
        <v>-55100</v>
      </c>
      <c r="N91" s="220">
        <f>ROUND(VLOOKUP($A91,'Contribution Allocation_Report'!$A$9:$D$314,4,FALSE)*$N$326,0)</f>
        <v>-14094</v>
      </c>
      <c r="O91" s="220">
        <f>ROUND(VLOOKUP($A91,'Contribution Allocation_Report'!$A$9:$D$314,4,FALSE)*$O$326,0)</f>
        <v>6067</v>
      </c>
      <c r="Q91" s="220">
        <f>+VLOOKUP(A91,'Change in Proportion Layers'!$AL$8:$AQ$322,2,FALSE)+K91</f>
        <v>-61811</v>
      </c>
      <c r="R91" s="220">
        <f>+VLOOKUP(A91,'Change in Proportion Layers'!$AL$8:$AQ$322,3,FALSE)+L91</f>
        <v>-55273</v>
      </c>
      <c r="S91" s="220">
        <f>+VLOOKUP(A91,'Change in Proportion Layers'!$AL$8:$AQ$322,4,FALSE)+M91</f>
        <v>-28609</v>
      </c>
      <c r="T91" s="220">
        <f>+VLOOKUP(A91,'Change in Proportion Layers'!$AL$8:$AQ$322,5,FALSE)+N91</f>
        <v>-6554</v>
      </c>
      <c r="U91" s="220">
        <f>+VLOOKUP(A91,'Change in Proportion Layers'!$AL$8:$AQ$322,6,FALSE)+O91</f>
        <v>9591</v>
      </c>
      <c r="W91" s="220">
        <f>('OPEB Amounts_Report'!H91-'OPEB Amounts_Report'!M91)</f>
        <v>-142656</v>
      </c>
      <c r="X91" s="245">
        <f t="shared" si="11"/>
        <v>0</v>
      </c>
    </row>
    <row r="92" spans="1:24" s="8" customFormat="1">
      <c r="A92" s="211">
        <v>19059</v>
      </c>
      <c r="B92" s="212" t="s">
        <v>81</v>
      </c>
      <c r="C92" s="46">
        <f t="shared" si="12"/>
        <v>-1559881</v>
      </c>
      <c r="D92" s="46">
        <f t="shared" si="13"/>
        <v>-2650465</v>
      </c>
      <c r="E92" s="46">
        <f t="shared" si="14"/>
        <v>-1695116</v>
      </c>
      <c r="F92" s="46">
        <f t="shared" si="15"/>
        <v>-769362</v>
      </c>
      <c r="G92" s="46">
        <f t="shared" si="16"/>
        <v>15559</v>
      </c>
      <c r="I92" s="49"/>
      <c r="K92" s="220">
        <f>ROUND(VLOOKUP($A92,'Contribution Allocation_Report'!$A$9:$D$314,4,FALSE)*$K$326,0)</f>
        <v>-1964911</v>
      </c>
      <c r="L92" s="220">
        <f>ROUND(VLOOKUP($A92,'Contribution Allocation_Report'!$A$9:$D$314,4,FALSE)*$L$326,0)</f>
        <v>-2694869</v>
      </c>
      <c r="M92" s="220">
        <f>ROUND(VLOOKUP($A92,'Contribution Allocation_Report'!$A$9:$D$314,4,FALSE)*$M$326,0)</f>
        <v>-1761991</v>
      </c>
      <c r="N92" s="220">
        <f>ROUND(VLOOKUP($A92,'Contribution Allocation_Report'!$A$9:$D$314,4,FALSE)*$N$326,0)</f>
        <v>-450692</v>
      </c>
      <c r="O92" s="220">
        <f>ROUND(VLOOKUP($A92,'Contribution Allocation_Report'!$A$9:$D$314,4,FALSE)*$O$326,0)</f>
        <v>194009</v>
      </c>
      <c r="Q92" s="220">
        <f>+VLOOKUP(A92,'Change in Proportion Layers'!$AL$8:$AQ$322,2,FALSE)+K92</f>
        <v>-1559881</v>
      </c>
      <c r="R92" s="220">
        <f>+VLOOKUP(A92,'Change in Proportion Layers'!$AL$8:$AQ$322,3,FALSE)+L92</f>
        <v>-2650465</v>
      </c>
      <c r="S92" s="220">
        <f>+VLOOKUP(A92,'Change in Proportion Layers'!$AL$8:$AQ$322,4,FALSE)+M92</f>
        <v>-1695116</v>
      </c>
      <c r="T92" s="220">
        <f>+VLOOKUP(A92,'Change in Proportion Layers'!$AL$8:$AQ$322,5,FALSE)+N92</f>
        <v>-769362</v>
      </c>
      <c r="U92" s="220">
        <f>+VLOOKUP(A92,'Change in Proportion Layers'!$AL$8:$AQ$322,6,FALSE)+O92</f>
        <v>15559</v>
      </c>
      <c r="W92" s="220">
        <f>('OPEB Amounts_Report'!H92-'OPEB Amounts_Report'!M92)</f>
        <v>-6659265</v>
      </c>
      <c r="X92" s="245">
        <f t="shared" si="11"/>
        <v>0</v>
      </c>
    </row>
    <row r="93" spans="1:24" s="8" customFormat="1">
      <c r="A93" s="209">
        <v>18057</v>
      </c>
      <c r="B93" s="210" t="s">
        <v>82</v>
      </c>
      <c r="C93" s="219">
        <f t="shared" si="12"/>
        <v>-61085</v>
      </c>
      <c r="D93" s="219">
        <f t="shared" si="13"/>
        <v>-85346</v>
      </c>
      <c r="E93" s="219">
        <f t="shared" si="14"/>
        <v>-49399</v>
      </c>
      <c r="F93" s="219">
        <f t="shared" si="15"/>
        <v>-2161</v>
      </c>
      <c r="G93" s="219">
        <f t="shared" si="16"/>
        <v>17238</v>
      </c>
      <c r="I93" s="49"/>
      <c r="K93" s="220">
        <f>ROUND(VLOOKUP($A93,'Contribution Allocation_Report'!$A$9:$D$314,4,FALSE)*$K$326,0)</f>
        <v>-83278</v>
      </c>
      <c r="L93" s="220">
        <f>ROUND(VLOOKUP($A93,'Contribution Allocation_Report'!$A$9:$D$314,4,FALSE)*$L$326,0)</f>
        <v>-114216</v>
      </c>
      <c r="M93" s="220">
        <f>ROUND(VLOOKUP($A93,'Contribution Allocation_Report'!$A$9:$D$314,4,FALSE)*$M$326,0)</f>
        <v>-74678</v>
      </c>
      <c r="N93" s="220">
        <f>ROUND(VLOOKUP($A93,'Contribution Allocation_Report'!$A$9:$D$314,4,FALSE)*$N$326,0)</f>
        <v>-19102</v>
      </c>
      <c r="O93" s="220">
        <f>ROUND(VLOOKUP($A93,'Contribution Allocation_Report'!$A$9:$D$314,4,FALSE)*$O$326,0)</f>
        <v>8223</v>
      </c>
      <c r="Q93" s="220">
        <f>+VLOOKUP(A93,'Change in Proportion Layers'!$AL$8:$AQ$322,2,FALSE)+K93</f>
        <v>-61085</v>
      </c>
      <c r="R93" s="220">
        <f>+VLOOKUP(A93,'Change in Proportion Layers'!$AL$8:$AQ$322,3,FALSE)+L93</f>
        <v>-85346</v>
      </c>
      <c r="S93" s="220">
        <f>+VLOOKUP(A93,'Change in Proportion Layers'!$AL$8:$AQ$322,4,FALSE)+M93</f>
        <v>-49399</v>
      </c>
      <c r="T93" s="220">
        <f>+VLOOKUP(A93,'Change in Proportion Layers'!$AL$8:$AQ$322,5,FALSE)+N93</f>
        <v>-2161</v>
      </c>
      <c r="U93" s="220">
        <f>+VLOOKUP(A93,'Change in Proportion Layers'!$AL$8:$AQ$322,6,FALSE)+O93</f>
        <v>17238</v>
      </c>
      <c r="W93" s="220">
        <f>('OPEB Amounts_Report'!H93-'OPEB Amounts_Report'!M93)</f>
        <v>-180753</v>
      </c>
      <c r="X93" s="245">
        <f t="shared" si="11"/>
        <v>0</v>
      </c>
    </row>
    <row r="94" spans="1:24" s="8" customFormat="1">
      <c r="A94" s="211">
        <v>4008</v>
      </c>
      <c r="B94" s="212" t="s">
        <v>83</v>
      </c>
      <c r="C94" s="46">
        <f t="shared" si="12"/>
        <v>-324479</v>
      </c>
      <c r="D94" s="46">
        <f t="shared" si="13"/>
        <v>-414316</v>
      </c>
      <c r="E94" s="46">
        <f t="shared" si="14"/>
        <v>-280771</v>
      </c>
      <c r="F94" s="46">
        <f t="shared" si="15"/>
        <v>-44499</v>
      </c>
      <c r="G94" s="46">
        <f t="shared" si="16"/>
        <v>-14746</v>
      </c>
      <c r="I94" s="49"/>
      <c r="K94" s="220">
        <f>ROUND(VLOOKUP($A94,'Contribution Allocation_Report'!$A$9:$D$314,4,FALSE)*$K$326,0)</f>
        <v>-328518</v>
      </c>
      <c r="L94" s="220">
        <f>ROUND(VLOOKUP($A94,'Contribution Allocation_Report'!$A$9:$D$314,4,FALSE)*$L$326,0)</f>
        <v>-450561</v>
      </c>
      <c r="M94" s="220">
        <f>ROUND(VLOOKUP($A94,'Contribution Allocation_Report'!$A$9:$D$314,4,FALSE)*$M$326,0)</f>
        <v>-294591</v>
      </c>
      <c r="N94" s="220">
        <f>ROUND(VLOOKUP($A94,'Contribution Allocation_Report'!$A$9:$D$314,4,FALSE)*$N$326,0)</f>
        <v>-75352</v>
      </c>
      <c r="O94" s="220">
        <f>ROUND(VLOOKUP($A94,'Contribution Allocation_Report'!$A$9:$D$314,4,FALSE)*$O$326,0)</f>
        <v>32437</v>
      </c>
      <c r="Q94" s="220">
        <f>+VLOOKUP(A94,'Change in Proportion Layers'!$AL$8:$AQ$322,2,FALSE)+K94</f>
        <v>-324479</v>
      </c>
      <c r="R94" s="220">
        <f>+VLOOKUP(A94,'Change in Proportion Layers'!$AL$8:$AQ$322,3,FALSE)+L94</f>
        <v>-414316</v>
      </c>
      <c r="S94" s="220">
        <f>+VLOOKUP(A94,'Change in Proportion Layers'!$AL$8:$AQ$322,4,FALSE)+M94</f>
        <v>-280771</v>
      </c>
      <c r="T94" s="220">
        <f>+VLOOKUP(A94,'Change in Proportion Layers'!$AL$8:$AQ$322,5,FALSE)+N94</f>
        <v>-44499</v>
      </c>
      <c r="U94" s="220">
        <f>+VLOOKUP(A94,'Change in Proportion Layers'!$AL$8:$AQ$322,6,FALSE)+O94-2</f>
        <v>-14746</v>
      </c>
      <c r="W94" s="220">
        <f>('OPEB Amounts_Report'!H94-'OPEB Amounts_Report'!M94)</f>
        <v>-1078811</v>
      </c>
      <c r="X94" s="245">
        <f t="shared" si="11"/>
        <v>0</v>
      </c>
    </row>
    <row r="95" spans="1:24" s="8" customFormat="1">
      <c r="A95" s="209">
        <v>2350</v>
      </c>
      <c r="B95" s="210" t="s">
        <v>84</v>
      </c>
      <c r="C95" s="219">
        <f t="shared" si="12"/>
        <v>-60468</v>
      </c>
      <c r="D95" s="219">
        <f t="shared" si="13"/>
        <v>-116339</v>
      </c>
      <c r="E95" s="219">
        <f t="shared" si="14"/>
        <v>-92890</v>
      </c>
      <c r="F95" s="219">
        <f t="shared" si="15"/>
        <v>-31657</v>
      </c>
      <c r="G95" s="219">
        <f t="shared" si="16"/>
        <v>-6083</v>
      </c>
      <c r="I95" s="49"/>
      <c r="K95" s="220">
        <f>ROUND(VLOOKUP($A95,'Contribution Allocation_Report'!$A$9:$D$314,4,FALSE)*$K$326,0)</f>
        <v>-108139</v>
      </c>
      <c r="L95" s="220">
        <f>ROUND(VLOOKUP($A95,'Contribution Allocation_Report'!$A$9:$D$314,4,FALSE)*$L$326,0)</f>
        <v>-148313</v>
      </c>
      <c r="M95" s="220">
        <f>ROUND(VLOOKUP($A95,'Contribution Allocation_Report'!$A$9:$D$314,4,FALSE)*$M$326,0)</f>
        <v>-96971</v>
      </c>
      <c r="N95" s="220">
        <f>ROUND(VLOOKUP($A95,'Contribution Allocation_Report'!$A$9:$D$314,4,FALSE)*$N$326,0)</f>
        <v>-24804</v>
      </c>
      <c r="O95" s="220">
        <f>ROUND(VLOOKUP($A95,'Contribution Allocation_Report'!$A$9:$D$314,4,FALSE)*$O$326,0)</f>
        <v>10677</v>
      </c>
      <c r="Q95" s="220">
        <f>+VLOOKUP(A95,'Change in Proportion Layers'!$AL$8:$AQ$322,2,FALSE)+K95</f>
        <v>-60468</v>
      </c>
      <c r="R95" s="220">
        <f>+VLOOKUP(A95,'Change in Proportion Layers'!$AL$8:$AQ$322,3,FALSE)+L95</f>
        <v>-116339</v>
      </c>
      <c r="S95" s="220">
        <f>+VLOOKUP(A95,'Change in Proportion Layers'!$AL$8:$AQ$322,4,FALSE)+M95</f>
        <v>-92890</v>
      </c>
      <c r="T95" s="220">
        <f>+VLOOKUP(A95,'Change in Proportion Layers'!$AL$8:$AQ$322,5,FALSE)+N95</f>
        <v>-31657</v>
      </c>
      <c r="U95" s="220">
        <f>+VLOOKUP(A95,'Change in Proportion Layers'!$AL$8:$AQ$322,6,FALSE)+O95</f>
        <v>-6083</v>
      </c>
      <c r="W95" s="220">
        <f>('OPEB Amounts_Report'!H95-'OPEB Amounts_Report'!M95)</f>
        <v>-307437</v>
      </c>
      <c r="X95" s="245">
        <f t="shared" si="11"/>
        <v>0</v>
      </c>
    </row>
    <row r="96" spans="1:24" s="8" customFormat="1">
      <c r="A96" s="211">
        <v>11117</v>
      </c>
      <c r="B96" s="212" t="s">
        <v>85</v>
      </c>
      <c r="C96" s="46">
        <f t="shared" si="12"/>
        <v>-134312</v>
      </c>
      <c r="D96" s="46">
        <f t="shared" si="13"/>
        <v>-175418</v>
      </c>
      <c r="E96" s="46">
        <f t="shared" si="14"/>
        <v>-131012</v>
      </c>
      <c r="F96" s="46">
        <f t="shared" si="15"/>
        <v>-40523</v>
      </c>
      <c r="G96" s="46">
        <f t="shared" si="16"/>
        <v>-2364</v>
      </c>
      <c r="I96" s="49"/>
      <c r="K96" s="220">
        <f>ROUND(VLOOKUP($A96,'Contribution Allocation_Report'!$A$9:$D$314,4,FALSE)*$K$326,0)</f>
        <v>-103451</v>
      </c>
      <c r="L96" s="220">
        <f>ROUND(VLOOKUP($A96,'Contribution Allocation_Report'!$A$9:$D$314,4,FALSE)*$L$326,0)</f>
        <v>-141883</v>
      </c>
      <c r="M96" s="220">
        <f>ROUND(VLOOKUP($A96,'Contribution Allocation_Report'!$A$9:$D$314,4,FALSE)*$M$326,0)</f>
        <v>-92768</v>
      </c>
      <c r="N96" s="220">
        <f>ROUND(VLOOKUP($A96,'Contribution Allocation_Report'!$A$9:$D$314,4,FALSE)*$N$326,0)</f>
        <v>-23729</v>
      </c>
      <c r="O96" s="220">
        <f>ROUND(VLOOKUP($A96,'Contribution Allocation_Report'!$A$9:$D$314,4,FALSE)*$O$326,0)</f>
        <v>10214</v>
      </c>
      <c r="Q96" s="220">
        <f>+VLOOKUP(A96,'Change in Proportion Layers'!$AL$8:$AQ$322,2,FALSE)+K96</f>
        <v>-134312</v>
      </c>
      <c r="R96" s="220">
        <f>+VLOOKUP(A96,'Change in Proportion Layers'!$AL$8:$AQ$322,3,FALSE)+L96</f>
        <v>-175418</v>
      </c>
      <c r="S96" s="220">
        <f>+VLOOKUP(A96,'Change in Proportion Layers'!$AL$8:$AQ$322,4,FALSE)+M96</f>
        <v>-131012</v>
      </c>
      <c r="T96" s="220">
        <f>+VLOOKUP(A96,'Change in Proportion Layers'!$AL$8:$AQ$322,5,FALSE)+N96</f>
        <v>-40523</v>
      </c>
      <c r="U96" s="220">
        <f>+VLOOKUP(A96,'Change in Proportion Layers'!$AL$8:$AQ$322,6,FALSE)+O96+1</f>
        <v>-2364</v>
      </c>
      <c r="W96" s="220">
        <f>('OPEB Amounts_Report'!H96-'OPEB Amounts_Report'!M96)</f>
        <v>-483629</v>
      </c>
      <c r="X96" s="245">
        <f t="shared" si="11"/>
        <v>0</v>
      </c>
    </row>
    <row r="97" spans="1:24" s="8" customFormat="1">
      <c r="A97" s="209">
        <v>16359</v>
      </c>
      <c r="B97" s="210" t="s">
        <v>86</v>
      </c>
      <c r="C97" s="219">
        <f t="shared" si="12"/>
        <v>-118</v>
      </c>
      <c r="D97" s="219">
        <f t="shared" si="13"/>
        <v>-11096</v>
      </c>
      <c r="E97" s="219">
        <f t="shared" si="14"/>
        <v>-10064</v>
      </c>
      <c r="F97" s="219">
        <f t="shared" si="15"/>
        <v>-2588</v>
      </c>
      <c r="G97" s="219">
        <f t="shared" si="16"/>
        <v>-12264</v>
      </c>
      <c r="I97" s="49"/>
      <c r="K97" s="220">
        <f>ROUND(VLOOKUP($A97,'Contribution Allocation_Report'!$A$9:$D$314,4,FALSE)*$K$326,0)</f>
        <v>-22477</v>
      </c>
      <c r="L97" s="220">
        <f>ROUND(VLOOKUP($A97,'Contribution Allocation_Report'!$A$9:$D$314,4,FALSE)*$L$326,0)</f>
        <v>-30828</v>
      </c>
      <c r="M97" s="220">
        <f>ROUND(VLOOKUP($A97,'Contribution Allocation_Report'!$A$9:$D$314,4,FALSE)*$M$326,0)</f>
        <v>-20156</v>
      </c>
      <c r="N97" s="220">
        <f>ROUND(VLOOKUP($A97,'Contribution Allocation_Report'!$A$9:$D$314,4,FALSE)*$N$326,0)</f>
        <v>-5156</v>
      </c>
      <c r="O97" s="220">
        <f>ROUND(VLOOKUP($A97,'Contribution Allocation_Report'!$A$9:$D$314,4,FALSE)*$O$326,0)</f>
        <v>2219</v>
      </c>
      <c r="Q97" s="220">
        <f>+VLOOKUP(A97,'Change in Proportion Layers'!$AL$8:$AQ$322,2,FALSE)+K97</f>
        <v>-118</v>
      </c>
      <c r="R97" s="220">
        <f>+VLOOKUP(A97,'Change in Proportion Layers'!$AL$8:$AQ$322,3,FALSE)+L97</f>
        <v>-11096</v>
      </c>
      <c r="S97" s="220">
        <f>+VLOOKUP(A97,'Change in Proportion Layers'!$AL$8:$AQ$322,4,FALSE)+M97</f>
        <v>-10064</v>
      </c>
      <c r="T97" s="220">
        <f>+VLOOKUP(A97,'Change in Proportion Layers'!$AL$8:$AQ$322,5,FALSE)+N97</f>
        <v>-2588</v>
      </c>
      <c r="U97" s="220">
        <f>+VLOOKUP(A97,'Change in Proportion Layers'!$AL$8:$AQ$322,6,FALSE)+O97+1</f>
        <v>-12264</v>
      </c>
      <c r="W97" s="220">
        <f>('OPEB Amounts_Report'!H97-'OPEB Amounts_Report'!M97)</f>
        <v>-36130</v>
      </c>
      <c r="X97" s="245">
        <f t="shared" si="11"/>
        <v>0</v>
      </c>
    </row>
    <row r="98" spans="1:24" s="8" customFormat="1">
      <c r="A98" s="211">
        <v>17115</v>
      </c>
      <c r="B98" s="212" t="s">
        <v>87</v>
      </c>
      <c r="C98" s="46">
        <f t="shared" si="12"/>
        <v>-335200</v>
      </c>
      <c r="D98" s="46">
        <f t="shared" si="13"/>
        <v>-492398</v>
      </c>
      <c r="E98" s="46">
        <f t="shared" si="14"/>
        <v>-213024</v>
      </c>
      <c r="F98" s="46">
        <f t="shared" si="15"/>
        <v>-21915</v>
      </c>
      <c r="G98" s="46">
        <f t="shared" si="16"/>
        <v>50342</v>
      </c>
      <c r="I98" s="49"/>
      <c r="K98" s="220">
        <f>ROUND(VLOOKUP($A98,'Contribution Allocation_Report'!$A$9:$D$314,4,FALSE)*$K$326,0)</f>
        <v>-399752</v>
      </c>
      <c r="L98" s="220">
        <f>ROUND(VLOOKUP($A98,'Contribution Allocation_Report'!$A$9:$D$314,4,FALSE)*$L$326,0)</f>
        <v>-548258</v>
      </c>
      <c r="M98" s="220">
        <f>ROUND(VLOOKUP($A98,'Contribution Allocation_Report'!$A$9:$D$314,4,FALSE)*$M$326,0)</f>
        <v>-358469</v>
      </c>
      <c r="N98" s="220">
        <f>ROUND(VLOOKUP($A98,'Contribution Allocation_Report'!$A$9:$D$314,4,FALSE)*$N$326,0)</f>
        <v>-91691</v>
      </c>
      <c r="O98" s="220">
        <f>ROUND(VLOOKUP($A98,'Contribution Allocation_Report'!$A$9:$D$314,4,FALSE)*$O$326,0)</f>
        <v>39470</v>
      </c>
      <c r="Q98" s="220">
        <f>+VLOOKUP(A98,'Change in Proportion Layers'!$AL$8:$AQ$322,2,FALSE)+K98</f>
        <v>-335200</v>
      </c>
      <c r="R98" s="220">
        <f>+VLOOKUP(A98,'Change in Proportion Layers'!$AL$8:$AQ$322,3,FALSE)+L98</f>
        <v>-492398</v>
      </c>
      <c r="S98" s="220">
        <f>+VLOOKUP(A98,'Change in Proportion Layers'!$AL$8:$AQ$322,4,FALSE)+M98</f>
        <v>-213024</v>
      </c>
      <c r="T98" s="220">
        <f>+VLOOKUP(A98,'Change in Proportion Layers'!$AL$8:$AQ$322,5,FALSE)+N98</f>
        <v>-21915</v>
      </c>
      <c r="U98" s="220">
        <f>+VLOOKUP(A98,'Change in Proportion Layers'!$AL$8:$AQ$322,6,FALSE)+O98+1</f>
        <v>50342</v>
      </c>
      <c r="W98" s="220">
        <f>('OPEB Amounts_Report'!H98-'OPEB Amounts_Report'!M98)</f>
        <v>-1012195</v>
      </c>
      <c r="X98" s="245">
        <f t="shared" si="11"/>
        <v>0</v>
      </c>
    </row>
    <row r="99" spans="1:24" s="8" customFormat="1">
      <c r="A99" s="209">
        <v>32117</v>
      </c>
      <c r="B99" s="210" t="s">
        <v>88</v>
      </c>
      <c r="C99" s="219">
        <f t="shared" si="12"/>
        <v>5779</v>
      </c>
      <c r="D99" s="219">
        <f t="shared" si="13"/>
        <v>-16978</v>
      </c>
      <c r="E99" s="219">
        <f t="shared" si="14"/>
        <v>-6766</v>
      </c>
      <c r="F99" s="219">
        <f t="shared" si="15"/>
        <v>10821</v>
      </c>
      <c r="G99" s="219">
        <f t="shared" si="16"/>
        <v>7628</v>
      </c>
      <c r="I99" s="49"/>
      <c r="K99" s="220">
        <f>ROUND(VLOOKUP($A99,'Contribution Allocation_Report'!$A$9:$D$314,4,FALSE)*$K$326,0)</f>
        <v>-32002</v>
      </c>
      <c r="L99" s="220">
        <f>ROUND(VLOOKUP($A99,'Contribution Allocation_Report'!$A$9:$D$314,4,FALSE)*$L$326,0)</f>
        <v>-43891</v>
      </c>
      <c r="M99" s="220">
        <f>ROUND(VLOOKUP($A99,'Contribution Allocation_Report'!$A$9:$D$314,4,FALSE)*$M$326,0)</f>
        <v>-28697</v>
      </c>
      <c r="N99" s="220">
        <f>ROUND(VLOOKUP($A99,'Contribution Allocation_Report'!$A$9:$D$314,4,FALSE)*$N$326,0)</f>
        <v>-7340</v>
      </c>
      <c r="O99" s="220">
        <f>ROUND(VLOOKUP($A99,'Contribution Allocation_Report'!$A$9:$D$314,4,FALSE)*$O$326,0)</f>
        <v>3160</v>
      </c>
      <c r="Q99" s="220">
        <f>+VLOOKUP(A99,'Change in Proportion Layers'!$AL$8:$AQ$322,2,FALSE)+K99</f>
        <v>5779</v>
      </c>
      <c r="R99" s="220">
        <f>+VLOOKUP(A99,'Change in Proportion Layers'!$AL$8:$AQ$322,3,FALSE)+L99</f>
        <v>-16978</v>
      </c>
      <c r="S99" s="220">
        <f>+VLOOKUP(A99,'Change in Proportion Layers'!$AL$8:$AQ$322,4,FALSE)+M99</f>
        <v>-6766</v>
      </c>
      <c r="T99" s="220">
        <f>+VLOOKUP(A99,'Change in Proportion Layers'!$AL$8:$AQ$322,5,FALSE)+N99</f>
        <v>10821</v>
      </c>
      <c r="U99" s="220">
        <f>+VLOOKUP(A99,'Change in Proportion Layers'!$AL$8:$AQ$322,6,FALSE)+O99-1</f>
        <v>7628</v>
      </c>
      <c r="W99" s="220">
        <f>('OPEB Amounts_Report'!H99-'OPEB Amounts_Report'!M99)</f>
        <v>484</v>
      </c>
      <c r="X99" s="245">
        <f t="shared" si="11"/>
        <v>0</v>
      </c>
    </row>
    <row r="100" spans="1:24" s="8" customFormat="1">
      <c r="A100" s="211">
        <v>2304</v>
      </c>
      <c r="B100" s="212" t="s">
        <v>89</v>
      </c>
      <c r="C100" s="46">
        <f t="shared" si="12"/>
        <v>-96980</v>
      </c>
      <c r="D100" s="46">
        <f t="shared" si="13"/>
        <v>-153538</v>
      </c>
      <c r="E100" s="46">
        <f t="shared" si="14"/>
        <v>-107157</v>
      </c>
      <c r="F100" s="46">
        <f t="shared" si="15"/>
        <v>-74108</v>
      </c>
      <c r="G100" s="46">
        <f t="shared" si="16"/>
        <v>51649</v>
      </c>
      <c r="I100" s="49"/>
      <c r="K100" s="220">
        <f>ROUND(VLOOKUP($A100,'Contribution Allocation_Report'!$A$9:$D$314,4,FALSE)*$K$326,0)</f>
        <v>-141619</v>
      </c>
      <c r="L100" s="220">
        <f>ROUND(VLOOKUP($A100,'Contribution Allocation_Report'!$A$9:$D$314,4,FALSE)*$L$326,0)</f>
        <v>-194231</v>
      </c>
      <c r="M100" s="220">
        <f>ROUND(VLOOKUP($A100,'Contribution Allocation_Report'!$A$9:$D$314,4,FALSE)*$M$326,0)</f>
        <v>-126994</v>
      </c>
      <c r="N100" s="220">
        <f>ROUND(VLOOKUP($A100,'Contribution Allocation_Report'!$A$9:$D$314,4,FALSE)*$N$326,0)</f>
        <v>-32483</v>
      </c>
      <c r="O100" s="220">
        <f>ROUND(VLOOKUP($A100,'Contribution Allocation_Report'!$A$9:$D$314,4,FALSE)*$O$326,0)</f>
        <v>13983</v>
      </c>
      <c r="Q100" s="220">
        <f>+VLOOKUP(A100,'Change in Proportion Layers'!$AL$8:$AQ$322,2,FALSE)+K100</f>
        <v>-96980</v>
      </c>
      <c r="R100" s="220">
        <f>+VLOOKUP(A100,'Change in Proportion Layers'!$AL$8:$AQ$322,3,FALSE)+L100</f>
        <v>-153538</v>
      </c>
      <c r="S100" s="220">
        <f>+VLOOKUP(A100,'Change in Proportion Layers'!$AL$8:$AQ$322,4,FALSE)+M100</f>
        <v>-107157</v>
      </c>
      <c r="T100" s="220">
        <f>+VLOOKUP(A100,'Change in Proportion Layers'!$AL$8:$AQ$322,5,FALSE)+N100</f>
        <v>-74108</v>
      </c>
      <c r="U100" s="220">
        <f>+VLOOKUP(A100,'Change in Proportion Layers'!$AL$8:$AQ$322,6,FALSE)+O100</f>
        <v>51649</v>
      </c>
      <c r="W100" s="220">
        <f>('OPEB Amounts_Report'!H100-'OPEB Amounts_Report'!M100)</f>
        <v>-380134</v>
      </c>
      <c r="X100" s="245">
        <f t="shared" si="11"/>
        <v>0</v>
      </c>
    </row>
    <row r="101" spans="1:24" s="8" customFormat="1">
      <c r="A101" s="209">
        <v>11101</v>
      </c>
      <c r="B101" s="210" t="s">
        <v>91</v>
      </c>
      <c r="C101" s="219">
        <f t="shared" si="12"/>
        <v>-1911860</v>
      </c>
      <c r="D101" s="219">
        <f t="shared" si="13"/>
        <v>-2696480</v>
      </c>
      <c r="E101" s="219">
        <f t="shared" si="14"/>
        <v>-1811065</v>
      </c>
      <c r="F101" s="219">
        <f t="shared" si="15"/>
        <v>-923037</v>
      </c>
      <c r="G101" s="219">
        <f t="shared" si="16"/>
        <v>335814</v>
      </c>
      <c r="I101" s="49"/>
      <c r="K101" s="220">
        <f>ROUND(VLOOKUP($A101,'Contribution Allocation_Report'!$A$9:$D$314,4,FALSE)*$K$326,0)</f>
        <v>-1634968</v>
      </c>
      <c r="L101" s="220">
        <f>ROUND(VLOOKUP($A101,'Contribution Allocation_Report'!$A$9:$D$314,4,FALSE)*$L$326,0)</f>
        <v>-2242353</v>
      </c>
      <c r="M101" s="220">
        <f>ROUND(VLOOKUP($A101,'Contribution Allocation_Report'!$A$9:$D$314,4,FALSE)*$M$326,0)</f>
        <v>-1466122</v>
      </c>
      <c r="N101" s="220">
        <f>ROUND(VLOOKUP($A101,'Contribution Allocation_Report'!$A$9:$D$314,4,FALSE)*$N$326,0)</f>
        <v>-375013</v>
      </c>
      <c r="O101" s="220">
        <f>ROUND(VLOOKUP($A101,'Contribution Allocation_Report'!$A$9:$D$314,4,FALSE)*$O$326,0)</f>
        <v>161432</v>
      </c>
      <c r="Q101" s="220">
        <f>+VLOOKUP(A101,'Change in Proportion Layers'!$AL$8:$AQ$322,2,FALSE)+K101</f>
        <v>-1911860</v>
      </c>
      <c r="R101" s="220">
        <f>+VLOOKUP(A101,'Change in Proportion Layers'!$AL$8:$AQ$322,3,FALSE)+L101</f>
        <v>-2696480</v>
      </c>
      <c r="S101" s="220">
        <f>+VLOOKUP(A101,'Change in Proportion Layers'!$AL$8:$AQ$322,4,FALSE)+M101</f>
        <v>-1811065</v>
      </c>
      <c r="T101" s="220">
        <f>+VLOOKUP(A101,'Change in Proportion Layers'!$AL$8:$AQ$322,5,FALSE)+N101</f>
        <v>-923037</v>
      </c>
      <c r="U101" s="220">
        <f>+VLOOKUP(A101,'Change in Proportion Layers'!$AL$8:$AQ$322,6,FALSE)+O101</f>
        <v>335814</v>
      </c>
      <c r="W101" s="220">
        <f>('OPEB Amounts_Report'!H101-'OPEB Amounts_Report'!M101)</f>
        <v>-7006628</v>
      </c>
      <c r="X101" s="245">
        <f t="shared" si="11"/>
        <v>0</v>
      </c>
    </row>
    <row r="102" spans="1:24" s="8" customFormat="1">
      <c r="A102" s="211">
        <v>11102</v>
      </c>
      <c r="B102" s="212" t="s">
        <v>90</v>
      </c>
      <c r="C102" s="46">
        <f t="shared" si="12"/>
        <v>-797622</v>
      </c>
      <c r="D102" s="46">
        <f t="shared" si="13"/>
        <v>-817971</v>
      </c>
      <c r="E102" s="46">
        <f t="shared" si="14"/>
        <v>-474465</v>
      </c>
      <c r="F102" s="46">
        <f t="shared" si="15"/>
        <v>-151874</v>
      </c>
      <c r="G102" s="46">
        <f t="shared" si="16"/>
        <v>30489</v>
      </c>
      <c r="I102" s="49"/>
      <c r="K102" s="220">
        <f>ROUND(VLOOKUP($A102,'Contribution Allocation_Report'!$A$9:$D$314,4,FALSE)*$K$326,0)</f>
        <v>-567971</v>
      </c>
      <c r="L102" s="220">
        <f>ROUND(VLOOKUP($A102,'Contribution Allocation_Report'!$A$9:$D$314,4,FALSE)*$L$326,0)</f>
        <v>-778970</v>
      </c>
      <c r="M102" s="220">
        <f>ROUND(VLOOKUP($A102,'Contribution Allocation_Report'!$A$9:$D$314,4,FALSE)*$M$326,0)</f>
        <v>-509316</v>
      </c>
      <c r="N102" s="220">
        <f>ROUND(VLOOKUP($A102,'Contribution Allocation_Report'!$A$9:$D$314,4,FALSE)*$N$326,0)</f>
        <v>-130276</v>
      </c>
      <c r="O102" s="220">
        <f>ROUND(VLOOKUP($A102,'Contribution Allocation_Report'!$A$9:$D$314,4,FALSE)*$O$326,0)</f>
        <v>56080</v>
      </c>
      <c r="Q102" s="220">
        <f>+VLOOKUP(A102,'Change in Proportion Layers'!$AL$8:$AQ$322,2,FALSE)+K102</f>
        <v>-797622</v>
      </c>
      <c r="R102" s="220">
        <f>+VLOOKUP(A102,'Change in Proportion Layers'!$AL$8:$AQ$322,3,FALSE)+L102</f>
        <v>-817971</v>
      </c>
      <c r="S102" s="220">
        <f>+VLOOKUP(A102,'Change in Proportion Layers'!$AL$8:$AQ$322,4,FALSE)+M102</f>
        <v>-474465</v>
      </c>
      <c r="T102" s="220">
        <f>+VLOOKUP(A102,'Change in Proportion Layers'!$AL$8:$AQ$322,5,FALSE)+N102</f>
        <v>-151874</v>
      </c>
      <c r="U102" s="220">
        <f>+VLOOKUP(A102,'Change in Proportion Layers'!$AL$8:$AQ$322,6,FALSE)+O102-1</f>
        <v>30489</v>
      </c>
      <c r="W102" s="220">
        <f>('OPEB Amounts_Report'!H102-'OPEB Amounts_Report'!M102)</f>
        <v>-2211443</v>
      </c>
      <c r="X102" s="245">
        <f t="shared" si="11"/>
        <v>0</v>
      </c>
    </row>
    <row r="103" spans="1:24" s="8" customFormat="1">
      <c r="A103" s="209">
        <v>3100</v>
      </c>
      <c r="B103" s="210" t="s">
        <v>92</v>
      </c>
      <c r="C103" s="219">
        <f t="shared" si="12"/>
        <v>-1240475</v>
      </c>
      <c r="D103" s="219">
        <f t="shared" si="13"/>
        <v>-1566013</v>
      </c>
      <c r="E103" s="219">
        <f t="shared" si="14"/>
        <v>-1294786</v>
      </c>
      <c r="F103" s="219">
        <f t="shared" si="15"/>
        <v>-380569</v>
      </c>
      <c r="G103" s="219">
        <f t="shared" si="16"/>
        <v>201923</v>
      </c>
      <c r="I103" s="49"/>
      <c r="K103" s="220">
        <f>ROUND(VLOOKUP($A103,'Contribution Allocation_Report'!$A$9:$D$314,4,FALSE)*$K$326,0)</f>
        <v>-1162546</v>
      </c>
      <c r="L103" s="220">
        <f>ROUND(VLOOKUP($A103,'Contribution Allocation_Report'!$A$9:$D$314,4,FALSE)*$L$326,0)</f>
        <v>-1594428</v>
      </c>
      <c r="M103" s="220">
        <f>ROUND(VLOOKUP($A103,'Contribution Allocation_Report'!$A$9:$D$314,4,FALSE)*$M$326,0)</f>
        <v>-1042488</v>
      </c>
      <c r="N103" s="220">
        <f>ROUND(VLOOKUP($A103,'Contribution Allocation_Report'!$A$9:$D$314,4,FALSE)*$N$326,0)</f>
        <v>-266654</v>
      </c>
      <c r="O103" s="220">
        <f>ROUND(VLOOKUP($A103,'Contribution Allocation_Report'!$A$9:$D$314,4,FALSE)*$O$326,0)</f>
        <v>114786</v>
      </c>
      <c r="Q103" s="220">
        <f>+VLOOKUP(A103,'Change in Proportion Layers'!$AL$8:$AQ$322,2,FALSE)+K103</f>
        <v>-1240475</v>
      </c>
      <c r="R103" s="220">
        <f>+VLOOKUP(A103,'Change in Proportion Layers'!$AL$8:$AQ$322,3,FALSE)+L103</f>
        <v>-1566013</v>
      </c>
      <c r="S103" s="220">
        <f>+VLOOKUP(A103,'Change in Proportion Layers'!$AL$8:$AQ$322,4,FALSE)+M103</f>
        <v>-1294786</v>
      </c>
      <c r="T103" s="220">
        <f>+VLOOKUP(A103,'Change in Proportion Layers'!$AL$8:$AQ$322,5,FALSE)+N103</f>
        <v>-380569</v>
      </c>
      <c r="U103" s="220">
        <f>+VLOOKUP(A103,'Change in Proportion Layers'!$AL$8:$AQ$322,6,FALSE)+O103+1</f>
        <v>201923</v>
      </c>
      <c r="W103" s="220">
        <f>('OPEB Amounts_Report'!H103-'OPEB Amounts_Report'!M103)</f>
        <v>-4279920</v>
      </c>
      <c r="X103" s="245">
        <f t="shared" si="11"/>
        <v>0</v>
      </c>
    </row>
    <row r="104" spans="1:24" s="8" customFormat="1">
      <c r="A104" s="211">
        <v>2323</v>
      </c>
      <c r="B104" s="212" t="s">
        <v>93</v>
      </c>
      <c r="C104" s="46">
        <f t="shared" si="12"/>
        <v>-79682</v>
      </c>
      <c r="D104" s="46">
        <f t="shared" si="13"/>
        <v>-163328</v>
      </c>
      <c r="E104" s="46">
        <f t="shared" si="14"/>
        <v>-110225</v>
      </c>
      <c r="F104" s="46">
        <f t="shared" si="15"/>
        <v>-44091</v>
      </c>
      <c r="G104" s="46">
        <f t="shared" si="16"/>
        <v>-15424</v>
      </c>
      <c r="I104" s="49"/>
      <c r="K104" s="220">
        <f>ROUND(VLOOKUP($A104,'Contribution Allocation_Report'!$A$9:$D$314,4,FALSE)*$K$326,0)</f>
        <v>-114823</v>
      </c>
      <c r="L104" s="220">
        <f>ROUND(VLOOKUP($A104,'Contribution Allocation_Report'!$A$9:$D$314,4,FALSE)*$L$326,0)</f>
        <v>-157479</v>
      </c>
      <c r="M104" s="220">
        <f>ROUND(VLOOKUP($A104,'Contribution Allocation_Report'!$A$9:$D$314,4,FALSE)*$M$326,0)</f>
        <v>-102965</v>
      </c>
      <c r="N104" s="220">
        <f>ROUND(VLOOKUP($A104,'Contribution Allocation_Report'!$A$9:$D$314,4,FALSE)*$N$326,0)</f>
        <v>-26337</v>
      </c>
      <c r="O104" s="220">
        <f>ROUND(VLOOKUP($A104,'Contribution Allocation_Report'!$A$9:$D$314,4,FALSE)*$O$326,0)</f>
        <v>11337</v>
      </c>
      <c r="Q104" s="220">
        <f>+VLOOKUP(A104,'Change in Proportion Layers'!$AL$8:$AQ$322,2,FALSE)+K104</f>
        <v>-79682</v>
      </c>
      <c r="R104" s="220">
        <f>+VLOOKUP(A104,'Change in Proportion Layers'!$AL$8:$AQ$322,3,FALSE)+L104</f>
        <v>-163328</v>
      </c>
      <c r="S104" s="220">
        <f>+VLOOKUP(A104,'Change in Proportion Layers'!$AL$8:$AQ$322,4,FALSE)+M104</f>
        <v>-110225</v>
      </c>
      <c r="T104" s="220">
        <f>+VLOOKUP(A104,'Change in Proportion Layers'!$AL$8:$AQ$322,5,FALSE)+N104</f>
        <v>-44091</v>
      </c>
      <c r="U104" s="220">
        <f>+VLOOKUP(A104,'Change in Proportion Layers'!$AL$8:$AQ$322,6,FALSE)+O104+3</f>
        <v>-15424</v>
      </c>
      <c r="W104" s="220">
        <f>('OPEB Amounts_Report'!H104-'OPEB Amounts_Report'!M104)</f>
        <v>-412750</v>
      </c>
      <c r="X104" s="245">
        <f t="shared" si="11"/>
        <v>0</v>
      </c>
    </row>
    <row r="105" spans="1:24" s="8" customFormat="1">
      <c r="A105" s="209">
        <v>11034</v>
      </c>
      <c r="B105" s="210" t="s">
        <v>94</v>
      </c>
      <c r="C105" s="219">
        <f t="shared" si="12"/>
        <v>-76483</v>
      </c>
      <c r="D105" s="219">
        <f t="shared" si="13"/>
        <v>-122545</v>
      </c>
      <c r="E105" s="219">
        <f t="shared" si="14"/>
        <v>-75995</v>
      </c>
      <c r="F105" s="219">
        <f t="shared" si="15"/>
        <v>-8748</v>
      </c>
      <c r="G105" s="219">
        <f t="shared" si="16"/>
        <v>5247</v>
      </c>
      <c r="I105" s="49"/>
      <c r="K105" s="220">
        <f>ROUND(VLOOKUP($A105,'Contribution Allocation_Report'!$A$9:$D$314,4,FALSE)*$K$326,0)</f>
        <v>-89056</v>
      </c>
      <c r="L105" s="220">
        <f>ROUND(VLOOKUP($A105,'Contribution Allocation_Report'!$A$9:$D$314,4,FALSE)*$L$326,0)</f>
        <v>-122140</v>
      </c>
      <c r="M105" s="220">
        <f>ROUND(VLOOKUP($A105,'Contribution Allocation_Report'!$A$9:$D$314,4,FALSE)*$M$326,0)</f>
        <v>-79859</v>
      </c>
      <c r="N105" s="220">
        <f>ROUND(VLOOKUP($A105,'Contribution Allocation_Report'!$A$9:$D$314,4,FALSE)*$N$326,0)</f>
        <v>-20427</v>
      </c>
      <c r="O105" s="220">
        <f>ROUND(VLOOKUP($A105,'Contribution Allocation_Report'!$A$9:$D$314,4,FALSE)*$O$326,0)</f>
        <v>8793</v>
      </c>
      <c r="Q105" s="220">
        <f>+VLOOKUP(A105,'Change in Proportion Layers'!$AL$8:$AQ$322,2,FALSE)+K105</f>
        <v>-76483</v>
      </c>
      <c r="R105" s="220">
        <f>+VLOOKUP(A105,'Change in Proportion Layers'!$AL$8:$AQ$322,3,FALSE)+L105</f>
        <v>-122545</v>
      </c>
      <c r="S105" s="220">
        <f>+VLOOKUP(A105,'Change in Proportion Layers'!$AL$8:$AQ$322,4,FALSE)+M105</f>
        <v>-75995</v>
      </c>
      <c r="T105" s="220">
        <f>+VLOOKUP(A105,'Change in Proportion Layers'!$AL$8:$AQ$322,5,FALSE)+N105</f>
        <v>-8748</v>
      </c>
      <c r="U105" s="220">
        <f>+VLOOKUP(A105,'Change in Proportion Layers'!$AL$8:$AQ$322,6,FALSE)+O105+1</f>
        <v>5247</v>
      </c>
      <c r="W105" s="220">
        <f>('OPEB Amounts_Report'!H105-'OPEB Amounts_Report'!M105)</f>
        <v>-278524</v>
      </c>
      <c r="X105" s="245">
        <f t="shared" si="11"/>
        <v>0</v>
      </c>
    </row>
    <row r="106" spans="1:24" s="8" customFormat="1">
      <c r="A106" s="211">
        <v>17054</v>
      </c>
      <c r="B106" s="212" t="s">
        <v>95</v>
      </c>
      <c r="C106" s="46">
        <f t="shared" si="12"/>
        <v>-1481790</v>
      </c>
      <c r="D106" s="46">
        <f t="shared" si="13"/>
        <v>-1998615</v>
      </c>
      <c r="E106" s="46">
        <f t="shared" si="14"/>
        <v>-1431685</v>
      </c>
      <c r="F106" s="46">
        <f t="shared" si="15"/>
        <v>-492271</v>
      </c>
      <c r="G106" s="46">
        <f t="shared" si="16"/>
        <v>55247</v>
      </c>
      <c r="I106" s="49"/>
      <c r="K106" s="220">
        <f>ROUND(VLOOKUP($A106,'Contribution Allocation_Report'!$A$9:$D$314,4,FALSE)*$K$326,0)</f>
        <v>-1195761</v>
      </c>
      <c r="L106" s="220">
        <f>ROUND(VLOOKUP($A106,'Contribution Allocation_Report'!$A$9:$D$314,4,FALSE)*$L$326,0)</f>
        <v>-1639982</v>
      </c>
      <c r="M106" s="220">
        <f>ROUND(VLOOKUP($A106,'Contribution Allocation_Report'!$A$9:$D$314,4,FALSE)*$M$326,0)</f>
        <v>-1072272</v>
      </c>
      <c r="N106" s="220">
        <f>ROUND(VLOOKUP($A106,'Contribution Allocation_Report'!$A$9:$D$314,4,FALSE)*$N$326,0)</f>
        <v>-274272</v>
      </c>
      <c r="O106" s="220">
        <f>ROUND(VLOOKUP($A106,'Contribution Allocation_Report'!$A$9:$D$314,4,FALSE)*$O$326,0)</f>
        <v>118066</v>
      </c>
      <c r="Q106" s="220">
        <f>+VLOOKUP(A106,'Change in Proportion Layers'!$AL$8:$AQ$322,2,FALSE)+K106</f>
        <v>-1481790</v>
      </c>
      <c r="R106" s="220">
        <f>+VLOOKUP(A106,'Change in Proportion Layers'!$AL$8:$AQ$322,3,FALSE)+L106</f>
        <v>-1998615</v>
      </c>
      <c r="S106" s="220">
        <f>+VLOOKUP(A106,'Change in Proportion Layers'!$AL$8:$AQ$322,4,FALSE)+M106</f>
        <v>-1431685</v>
      </c>
      <c r="T106" s="220">
        <f>+VLOOKUP(A106,'Change in Proportion Layers'!$AL$8:$AQ$322,5,FALSE)+N106</f>
        <v>-492271</v>
      </c>
      <c r="U106" s="220">
        <f>+VLOOKUP(A106,'Change in Proportion Layers'!$AL$8:$AQ$322,6,FALSE)+O106</f>
        <v>55247</v>
      </c>
      <c r="W106" s="220">
        <f>('OPEB Amounts_Report'!H106-'OPEB Amounts_Report'!M106)</f>
        <v>-5349114</v>
      </c>
      <c r="X106" s="245">
        <f t="shared" si="11"/>
        <v>0</v>
      </c>
    </row>
    <row r="107" spans="1:24" s="8" customFormat="1">
      <c r="A107" s="209">
        <v>22065</v>
      </c>
      <c r="B107" s="210" t="s">
        <v>96</v>
      </c>
      <c r="C107" s="219">
        <f t="shared" si="12"/>
        <v>-218280</v>
      </c>
      <c r="D107" s="219">
        <f t="shared" si="13"/>
        <v>-377561</v>
      </c>
      <c r="E107" s="219">
        <f t="shared" si="14"/>
        <v>-230561</v>
      </c>
      <c r="F107" s="219">
        <f t="shared" si="15"/>
        <v>-44069</v>
      </c>
      <c r="G107" s="219">
        <f t="shared" si="16"/>
        <v>72711</v>
      </c>
      <c r="I107" s="49"/>
      <c r="K107" s="220">
        <f>ROUND(VLOOKUP($A107,'Contribution Allocation_Report'!$A$9:$D$314,4,FALSE)*$K$326,0)</f>
        <v>-305767</v>
      </c>
      <c r="L107" s="220">
        <f>ROUND(VLOOKUP($A107,'Contribution Allocation_Report'!$A$9:$D$314,4,FALSE)*$L$326,0)</f>
        <v>-419358</v>
      </c>
      <c r="M107" s="220">
        <f>ROUND(VLOOKUP($A107,'Contribution Allocation_Report'!$A$9:$D$314,4,FALSE)*$M$326,0)</f>
        <v>-274190</v>
      </c>
      <c r="N107" s="220">
        <f>ROUND(VLOOKUP($A107,'Contribution Allocation_Report'!$A$9:$D$314,4,FALSE)*$N$326,0)</f>
        <v>-70134</v>
      </c>
      <c r="O107" s="220">
        <f>ROUND(VLOOKUP($A107,'Contribution Allocation_Report'!$A$9:$D$314,4,FALSE)*$O$326,0)</f>
        <v>30190</v>
      </c>
      <c r="Q107" s="220">
        <f>+VLOOKUP(A107,'Change in Proportion Layers'!$AL$8:$AQ$322,2,FALSE)+K107</f>
        <v>-218280</v>
      </c>
      <c r="R107" s="220">
        <f>+VLOOKUP(A107,'Change in Proportion Layers'!$AL$8:$AQ$322,3,FALSE)+L107</f>
        <v>-377561</v>
      </c>
      <c r="S107" s="220">
        <f>+VLOOKUP(A107,'Change in Proportion Layers'!$AL$8:$AQ$322,4,FALSE)+M107</f>
        <v>-230561</v>
      </c>
      <c r="T107" s="220">
        <f>+VLOOKUP(A107,'Change in Proportion Layers'!$AL$8:$AQ$322,5,FALSE)+N107</f>
        <v>-44069</v>
      </c>
      <c r="U107" s="220">
        <f>+VLOOKUP(A107,'Change in Proportion Layers'!$AL$8:$AQ$322,6,FALSE)+O107+2</f>
        <v>72711</v>
      </c>
      <c r="W107" s="220">
        <f>('OPEB Amounts_Report'!H107-'OPEB Amounts_Report'!M107)</f>
        <v>-797760</v>
      </c>
      <c r="X107" s="245">
        <f t="shared" si="11"/>
        <v>0</v>
      </c>
    </row>
    <row r="108" spans="1:24" s="8" customFormat="1">
      <c r="A108" s="211">
        <v>22201</v>
      </c>
      <c r="B108" s="212" t="s">
        <v>97</v>
      </c>
      <c r="C108" s="46">
        <f t="shared" si="12"/>
        <v>-74217</v>
      </c>
      <c r="D108" s="46">
        <f t="shared" si="13"/>
        <v>-170677</v>
      </c>
      <c r="E108" s="46">
        <f t="shared" si="14"/>
        <v>-78323</v>
      </c>
      <c r="F108" s="46">
        <f t="shared" si="15"/>
        <v>17366</v>
      </c>
      <c r="G108" s="46">
        <f t="shared" si="16"/>
        <v>55545</v>
      </c>
      <c r="I108" s="49"/>
      <c r="K108" s="220">
        <f>ROUND(VLOOKUP($A108,'Contribution Allocation_Report'!$A$9:$D$314,4,FALSE)*$K$326,0)</f>
        <v>-179546</v>
      </c>
      <c r="L108" s="220">
        <f>ROUND(VLOOKUP($A108,'Contribution Allocation_Report'!$A$9:$D$314,4,FALSE)*$L$326,0)</f>
        <v>-246247</v>
      </c>
      <c r="M108" s="220">
        <f>ROUND(VLOOKUP($A108,'Contribution Allocation_Report'!$A$9:$D$314,4,FALSE)*$M$326,0)</f>
        <v>-161004</v>
      </c>
      <c r="N108" s="220">
        <f>ROUND(VLOOKUP($A108,'Contribution Allocation_Report'!$A$9:$D$314,4,FALSE)*$N$326,0)</f>
        <v>-41183</v>
      </c>
      <c r="O108" s="220">
        <f>ROUND(VLOOKUP($A108,'Contribution Allocation_Report'!$A$9:$D$314,4,FALSE)*$O$326,0)</f>
        <v>17728</v>
      </c>
      <c r="Q108" s="220">
        <f>+VLOOKUP(A108,'Change in Proportion Layers'!$AL$8:$AQ$322,2,FALSE)+K108</f>
        <v>-74217</v>
      </c>
      <c r="R108" s="220">
        <f>+VLOOKUP(A108,'Change in Proportion Layers'!$AL$8:$AQ$322,3,FALSE)+L108</f>
        <v>-170677</v>
      </c>
      <c r="S108" s="220">
        <f>+VLOOKUP(A108,'Change in Proportion Layers'!$AL$8:$AQ$322,4,FALSE)+M108</f>
        <v>-78323</v>
      </c>
      <c r="T108" s="220">
        <f>+VLOOKUP(A108,'Change in Proportion Layers'!$AL$8:$AQ$322,5,FALSE)+N108</f>
        <v>17366</v>
      </c>
      <c r="U108" s="220">
        <f>+VLOOKUP(A108,'Change in Proportion Layers'!$AL$8:$AQ$322,6,FALSE)+O108-1</f>
        <v>55545</v>
      </c>
      <c r="W108" s="220">
        <f>('OPEB Amounts_Report'!H108-'OPEB Amounts_Report'!M108)</f>
        <v>-250306</v>
      </c>
      <c r="X108" s="245">
        <f t="shared" si="11"/>
        <v>0</v>
      </c>
    </row>
    <row r="109" spans="1:24" s="8" customFormat="1">
      <c r="A109" s="209">
        <v>6016</v>
      </c>
      <c r="B109" s="210" t="s">
        <v>98</v>
      </c>
      <c r="C109" s="219">
        <f t="shared" si="12"/>
        <v>-236988</v>
      </c>
      <c r="D109" s="219">
        <f t="shared" si="13"/>
        <v>-412748</v>
      </c>
      <c r="E109" s="219">
        <f t="shared" si="14"/>
        <v>-241860</v>
      </c>
      <c r="F109" s="219">
        <f t="shared" si="15"/>
        <v>-90040</v>
      </c>
      <c r="G109" s="219">
        <f t="shared" si="16"/>
        <v>19875</v>
      </c>
      <c r="I109" s="49"/>
      <c r="K109" s="220">
        <f>ROUND(VLOOKUP($A109,'Contribution Allocation_Report'!$A$9:$D$314,4,FALSE)*$K$326,0)</f>
        <v>-293709</v>
      </c>
      <c r="L109" s="220">
        <f>ROUND(VLOOKUP($A109,'Contribution Allocation_Report'!$A$9:$D$314,4,FALSE)*$L$326,0)</f>
        <v>-402821</v>
      </c>
      <c r="M109" s="220">
        <f>ROUND(VLOOKUP($A109,'Contribution Allocation_Report'!$A$9:$D$314,4,FALSE)*$M$326,0)</f>
        <v>-263377</v>
      </c>
      <c r="N109" s="220">
        <f>ROUND(VLOOKUP($A109,'Contribution Allocation_Report'!$A$9:$D$314,4,FALSE)*$N$326,0)</f>
        <v>-67368</v>
      </c>
      <c r="O109" s="220">
        <f>ROUND(VLOOKUP($A109,'Contribution Allocation_Report'!$A$9:$D$314,4,FALSE)*$O$326,0)</f>
        <v>29000</v>
      </c>
      <c r="Q109" s="220">
        <f>+VLOOKUP(A109,'Change in Proportion Layers'!$AL$8:$AQ$322,2,FALSE)+K109</f>
        <v>-236988</v>
      </c>
      <c r="R109" s="220">
        <f>+VLOOKUP(A109,'Change in Proportion Layers'!$AL$8:$AQ$322,3,FALSE)+L109</f>
        <v>-412748</v>
      </c>
      <c r="S109" s="220">
        <f>+VLOOKUP(A109,'Change in Proportion Layers'!$AL$8:$AQ$322,4,FALSE)+M109</f>
        <v>-241860</v>
      </c>
      <c r="T109" s="220">
        <f>+VLOOKUP(A109,'Change in Proportion Layers'!$AL$8:$AQ$322,5,FALSE)+N109</f>
        <v>-90040</v>
      </c>
      <c r="U109" s="220">
        <f>+VLOOKUP(A109,'Change in Proportion Layers'!$AL$8:$AQ$322,6,FALSE)+O109</f>
        <v>19875</v>
      </c>
      <c r="W109" s="220">
        <f>('OPEB Amounts_Report'!H109-'OPEB Amounts_Report'!M109)</f>
        <v>-961761</v>
      </c>
      <c r="X109" s="245">
        <f t="shared" si="11"/>
        <v>0</v>
      </c>
    </row>
    <row r="110" spans="1:24" s="8" customFormat="1">
      <c r="A110" s="211">
        <v>2432</v>
      </c>
      <c r="B110" s="212" t="s">
        <v>99</v>
      </c>
      <c r="C110" s="46">
        <f t="shared" si="12"/>
        <v>403329</v>
      </c>
      <c r="D110" s="46">
        <f t="shared" si="13"/>
        <v>156446</v>
      </c>
      <c r="E110" s="46">
        <f t="shared" si="14"/>
        <v>199874</v>
      </c>
      <c r="F110" s="46">
        <f t="shared" si="15"/>
        <v>192503</v>
      </c>
      <c r="G110" s="46">
        <f t="shared" si="16"/>
        <v>38901</v>
      </c>
      <c r="I110" s="49"/>
      <c r="K110" s="220">
        <f>ROUND(VLOOKUP($A110,'Contribution Allocation_Report'!$A$9:$D$314,4,FALSE)*$K$326,0)</f>
        <v>-466793</v>
      </c>
      <c r="L110" s="220">
        <f>ROUND(VLOOKUP($A110,'Contribution Allocation_Report'!$A$9:$D$314,4,FALSE)*$L$326,0)</f>
        <v>-640206</v>
      </c>
      <c r="M110" s="220">
        <f>ROUND(VLOOKUP($A110,'Contribution Allocation_Report'!$A$9:$D$314,4,FALSE)*$M$326,0)</f>
        <v>-418587</v>
      </c>
      <c r="N110" s="220">
        <f>ROUND(VLOOKUP($A110,'Contribution Allocation_Report'!$A$9:$D$314,4,FALSE)*$N$326,0)</f>
        <v>-107069</v>
      </c>
      <c r="O110" s="220">
        <f>ROUND(VLOOKUP($A110,'Contribution Allocation_Report'!$A$9:$D$314,4,FALSE)*$O$326,0)</f>
        <v>46090</v>
      </c>
      <c r="Q110" s="220">
        <f>+VLOOKUP(A110,'Change in Proportion Layers'!$AL$8:$AQ$322,2,FALSE)+K110</f>
        <v>403329</v>
      </c>
      <c r="R110" s="220">
        <f>+VLOOKUP(A110,'Change in Proportion Layers'!$AL$8:$AQ$322,3,FALSE)+L110</f>
        <v>156446</v>
      </c>
      <c r="S110" s="220">
        <f>+VLOOKUP(A110,'Change in Proportion Layers'!$AL$8:$AQ$322,4,FALSE)+M110</f>
        <v>199874</v>
      </c>
      <c r="T110" s="220">
        <f>+VLOOKUP(A110,'Change in Proportion Layers'!$AL$8:$AQ$322,5,FALSE)+N110</f>
        <v>192503</v>
      </c>
      <c r="U110" s="220">
        <f>+VLOOKUP(A110,'Change in Proportion Layers'!$AL$8:$AQ$322,6,FALSE)+O110</f>
        <v>38901</v>
      </c>
      <c r="W110" s="220">
        <f>('OPEB Amounts_Report'!H110-'OPEB Amounts_Report'!M110)</f>
        <v>991053</v>
      </c>
      <c r="X110" s="245">
        <f t="shared" si="11"/>
        <v>0</v>
      </c>
    </row>
    <row r="111" spans="1:24" s="192" customFormat="1">
      <c r="A111" s="209">
        <v>7440</v>
      </c>
      <c r="B111" s="210" t="s">
        <v>447</v>
      </c>
      <c r="C111" s="219">
        <f t="shared" ref="C111:C112" si="17">+Q111</f>
        <v>135899</v>
      </c>
      <c r="D111" s="219">
        <f t="shared" ref="D111:D112" si="18">+R111</f>
        <v>96738</v>
      </c>
      <c r="E111" s="219">
        <f t="shared" ref="E111:E112" si="19">+S111</f>
        <v>137358</v>
      </c>
      <c r="F111" s="219">
        <f t="shared" ref="F111:F112" si="20">+T111</f>
        <v>121073</v>
      </c>
      <c r="G111" s="219">
        <f t="shared" ref="G111:G112" si="21">+U111</f>
        <v>80888</v>
      </c>
      <c r="I111" s="221"/>
      <c r="K111" s="220">
        <f>ROUND(VLOOKUP($A111,'Contribution Allocation_Report'!$A$9:$D$314,4,FALSE)*$K$326,0)</f>
        <v>-105411</v>
      </c>
      <c r="L111" s="220">
        <f>ROUND(VLOOKUP($A111,'Contribution Allocation_Report'!$A$9:$D$314,4,FALSE)*$L$326,0)</f>
        <v>-144572</v>
      </c>
      <c r="M111" s="220">
        <f>ROUND(VLOOKUP($A111,'Contribution Allocation_Report'!$A$9:$D$314,4,FALSE)*$M$326,0)</f>
        <v>-94525</v>
      </c>
      <c r="N111" s="220">
        <f>ROUND(VLOOKUP($A111,'Contribution Allocation_Report'!$A$9:$D$314,4,FALSE)*$N$326,0)</f>
        <v>-24178</v>
      </c>
      <c r="O111" s="220">
        <f>ROUND(VLOOKUP($A111,'Contribution Allocation_Report'!$A$9:$D$314,4,FALSE)*$O$326,0)</f>
        <v>10408</v>
      </c>
      <c r="Q111" s="220">
        <f>+VLOOKUP(A111,'Change in Proportion Layers'!$AL$8:$AQ$322,2,FALSE)+K111</f>
        <v>135899</v>
      </c>
      <c r="R111" s="220">
        <f>+VLOOKUP(A111,'Change in Proportion Layers'!$AL$8:$AQ$322,3,FALSE)+L111</f>
        <v>96738</v>
      </c>
      <c r="S111" s="220">
        <f>+VLOOKUP(A111,'Change in Proportion Layers'!$AL$8:$AQ$322,4,FALSE)+M111</f>
        <v>137358</v>
      </c>
      <c r="T111" s="220">
        <f>+VLOOKUP(A111,'Change in Proportion Layers'!$AL$8:$AQ$322,5,FALSE)+N111</f>
        <v>121073</v>
      </c>
      <c r="U111" s="220">
        <f>+VLOOKUP(A111,'Change in Proportion Layers'!$AL$8:$AQ$322,6,FALSE)+O111-2</f>
        <v>80888</v>
      </c>
      <c r="W111" s="220">
        <f>('OPEB Amounts_Report'!H111-'OPEB Amounts_Report'!M111)</f>
        <v>571956</v>
      </c>
      <c r="X111" s="245">
        <f t="shared" si="11"/>
        <v>0</v>
      </c>
    </row>
    <row r="112" spans="1:24" s="192" customFormat="1">
      <c r="A112" s="211">
        <v>29125</v>
      </c>
      <c r="B112" s="212" t="s">
        <v>483</v>
      </c>
      <c r="C112" s="46">
        <f t="shared" si="17"/>
        <v>68377</v>
      </c>
      <c r="D112" s="46">
        <f t="shared" si="18"/>
        <v>41562</v>
      </c>
      <c r="E112" s="46">
        <f t="shared" si="19"/>
        <v>75831</v>
      </c>
      <c r="F112" s="46">
        <f t="shared" si="20"/>
        <v>124002</v>
      </c>
      <c r="G112" s="46">
        <f t="shared" si="21"/>
        <v>137844</v>
      </c>
      <c r="I112" s="221"/>
      <c r="K112" s="220">
        <f>ROUND(VLOOKUP($A112,'Contribution Allocation_Report'!$A$9:$D$314,4,FALSE)*$K$326,0)</f>
        <v>-72181</v>
      </c>
      <c r="L112" s="220">
        <f>ROUND(VLOOKUP($A112,'Contribution Allocation_Report'!$A$9:$D$314,4,FALSE)*$L$326,0)</f>
        <v>-98996</v>
      </c>
      <c r="M112" s="220">
        <f>ROUND(VLOOKUP($A112,'Contribution Allocation_Report'!$A$9:$D$314,4,FALSE)*$M$326,0)</f>
        <v>-64727</v>
      </c>
      <c r="N112" s="220">
        <f>ROUND(VLOOKUP($A112,'Contribution Allocation_Report'!$A$9:$D$314,4,FALSE)*$N$326,0)</f>
        <v>-16556</v>
      </c>
      <c r="O112" s="220">
        <f>ROUND(VLOOKUP($A112,'Contribution Allocation_Report'!$A$9:$D$314,4,FALSE)*$O$326,0)</f>
        <v>7127</v>
      </c>
      <c r="Q112" s="220">
        <f>+VLOOKUP(A112,'Change in Proportion Layers'!$AL$8:$AQ$322,2,FALSE)+K112</f>
        <v>68377</v>
      </c>
      <c r="R112" s="220">
        <f>+VLOOKUP(A112,'Change in Proportion Layers'!$AL$8:$AQ$322,3,FALSE)+L112</f>
        <v>41562</v>
      </c>
      <c r="S112" s="220">
        <f>+VLOOKUP(A112,'Change in Proportion Layers'!$AL$8:$AQ$322,4,FALSE)+M112</f>
        <v>75831</v>
      </c>
      <c r="T112" s="220">
        <f>+VLOOKUP(A112,'Change in Proportion Layers'!$AL$8:$AQ$322,5,FALSE)+N112</f>
        <v>124002</v>
      </c>
      <c r="U112" s="220">
        <f>+VLOOKUP(A112,'Change in Proportion Layers'!$AL$8:$AQ$322,6,FALSE)+O112-1</f>
        <v>137844</v>
      </c>
      <c r="W112" s="220">
        <f>('OPEB Amounts_Report'!H112-'OPEB Amounts_Report'!M112)</f>
        <v>447616</v>
      </c>
      <c r="X112" s="245">
        <f t="shared" ref="X112" si="22">SUM(Q112:U112)-W112</f>
        <v>0</v>
      </c>
    </row>
    <row r="113" spans="1:24" s="8" customFormat="1">
      <c r="A113" s="209">
        <v>16052</v>
      </c>
      <c r="B113" s="210" t="s">
        <v>100</v>
      </c>
      <c r="C113" s="219">
        <f t="shared" si="12"/>
        <v>-3045515</v>
      </c>
      <c r="D113" s="219">
        <f t="shared" si="13"/>
        <v>-5380004</v>
      </c>
      <c r="E113" s="219">
        <f t="shared" si="14"/>
        <v>-3428318</v>
      </c>
      <c r="F113" s="219">
        <f t="shared" si="15"/>
        <v>-946924</v>
      </c>
      <c r="G113" s="219">
        <f t="shared" si="16"/>
        <v>54262</v>
      </c>
      <c r="I113" s="49"/>
      <c r="K113" s="220">
        <f>ROUND(VLOOKUP($A113,'Contribution Allocation_Report'!$A$9:$D$314,4,FALSE)*$K$326,0)</f>
        <v>-3682765</v>
      </c>
      <c r="L113" s="220">
        <f>ROUND(VLOOKUP($A113,'Contribution Allocation_Report'!$A$9:$D$314,4,FALSE)*$L$326,0)</f>
        <v>-5050900</v>
      </c>
      <c r="M113" s="220">
        <f>ROUND(VLOOKUP($A113,'Contribution Allocation_Report'!$A$9:$D$314,4,FALSE)*$M$326,0)</f>
        <v>-3302439</v>
      </c>
      <c r="N113" s="220">
        <f>ROUND(VLOOKUP($A113,'Contribution Allocation_Report'!$A$9:$D$314,4,FALSE)*$N$326,0)</f>
        <v>-844717</v>
      </c>
      <c r="O113" s="220">
        <f>ROUND(VLOOKUP($A113,'Contribution Allocation_Report'!$A$9:$D$314,4,FALSE)*$O$326,0)</f>
        <v>363625</v>
      </c>
      <c r="Q113" s="220">
        <f>+VLOOKUP(A113,'Change in Proportion Layers'!$AL$8:$AQ$322,2,FALSE)+K113</f>
        <v>-3045515</v>
      </c>
      <c r="R113" s="220">
        <f>+VLOOKUP(A113,'Change in Proportion Layers'!$AL$8:$AQ$322,3,FALSE)+L113</f>
        <v>-5380004</v>
      </c>
      <c r="S113" s="220">
        <f>+VLOOKUP(A113,'Change in Proportion Layers'!$AL$8:$AQ$322,4,FALSE)+M113</f>
        <v>-3428318</v>
      </c>
      <c r="T113" s="220">
        <f>+VLOOKUP(A113,'Change in Proportion Layers'!$AL$8:$AQ$322,5,FALSE)+N113</f>
        <v>-946924</v>
      </c>
      <c r="U113" s="220">
        <f>+VLOOKUP(A113,'Change in Proportion Layers'!$AL$8:$AQ$322,6,FALSE)+O113+1</f>
        <v>54262</v>
      </c>
      <c r="W113" s="220">
        <f>('OPEB Amounts_Report'!H113-'OPEB Amounts_Report'!M113)</f>
        <v>-12746499</v>
      </c>
      <c r="X113" s="245">
        <f t="shared" si="11"/>
        <v>0</v>
      </c>
    </row>
    <row r="114" spans="1:24" s="8" customFormat="1">
      <c r="A114" s="211">
        <v>11118</v>
      </c>
      <c r="B114" s="212" t="s">
        <v>101</v>
      </c>
      <c r="C114" s="46">
        <f t="shared" si="12"/>
        <v>-141305</v>
      </c>
      <c r="D114" s="46">
        <f t="shared" si="13"/>
        <v>-158436</v>
      </c>
      <c r="E114" s="46">
        <f t="shared" si="14"/>
        <v>-83689</v>
      </c>
      <c r="F114" s="46">
        <f t="shared" si="15"/>
        <v>-25632</v>
      </c>
      <c r="G114" s="46">
        <f t="shared" si="16"/>
        <v>7562</v>
      </c>
      <c r="I114" s="49"/>
      <c r="K114" s="220">
        <f>ROUND(VLOOKUP($A114,'Contribution Allocation_Report'!$A$9:$D$314,4,FALSE)*$K$326,0)</f>
        <v>-100219</v>
      </c>
      <c r="L114" s="220">
        <f>ROUND(VLOOKUP($A114,'Contribution Allocation_Report'!$A$9:$D$314,4,FALSE)*$L$326,0)</f>
        <v>-137450</v>
      </c>
      <c r="M114" s="220">
        <f>ROUND(VLOOKUP($A114,'Contribution Allocation_Report'!$A$9:$D$314,4,FALSE)*$M$326,0)</f>
        <v>-89869</v>
      </c>
      <c r="N114" s="220">
        <f>ROUND(VLOOKUP($A114,'Contribution Allocation_Report'!$A$9:$D$314,4,FALSE)*$N$326,0)</f>
        <v>-22987</v>
      </c>
      <c r="O114" s="220">
        <f>ROUND(VLOOKUP($A114,'Contribution Allocation_Report'!$A$9:$D$314,4,FALSE)*$O$326,0)</f>
        <v>9895</v>
      </c>
      <c r="Q114" s="220">
        <f>+VLOOKUP(A114,'Change in Proportion Layers'!$AL$8:$AQ$322,2,FALSE)+K114</f>
        <v>-141305</v>
      </c>
      <c r="R114" s="220">
        <f>+VLOOKUP(A114,'Change in Proportion Layers'!$AL$8:$AQ$322,3,FALSE)+L114</f>
        <v>-158436</v>
      </c>
      <c r="S114" s="220">
        <f>+VLOOKUP(A114,'Change in Proportion Layers'!$AL$8:$AQ$322,4,FALSE)+M114</f>
        <v>-83689</v>
      </c>
      <c r="T114" s="220">
        <f>+VLOOKUP(A114,'Change in Proportion Layers'!$AL$8:$AQ$322,5,FALSE)+N114</f>
        <v>-25632</v>
      </c>
      <c r="U114" s="220">
        <f>+VLOOKUP(A114,'Change in Proportion Layers'!$AL$8:$AQ$322,6,FALSE)+O114</f>
        <v>7562</v>
      </c>
      <c r="W114" s="220">
        <f>('OPEB Amounts_Report'!H114-'OPEB Amounts_Report'!M114)</f>
        <v>-401500</v>
      </c>
      <c r="X114" s="245">
        <f t="shared" si="11"/>
        <v>0</v>
      </c>
    </row>
    <row r="115" spans="1:24" s="8" customFormat="1">
      <c r="A115" s="209">
        <v>27083</v>
      </c>
      <c r="B115" s="210" t="s">
        <v>102</v>
      </c>
      <c r="C115" s="219">
        <f t="shared" si="12"/>
        <v>-154525</v>
      </c>
      <c r="D115" s="219">
        <f t="shared" si="13"/>
        <v>-234178</v>
      </c>
      <c r="E115" s="219">
        <f t="shared" si="14"/>
        <v>-159162</v>
      </c>
      <c r="F115" s="219">
        <f t="shared" si="15"/>
        <v>-69999</v>
      </c>
      <c r="G115" s="219">
        <f t="shared" si="16"/>
        <v>-16182</v>
      </c>
      <c r="I115" s="49"/>
      <c r="K115" s="220">
        <f>ROUND(VLOOKUP($A115,'Contribution Allocation_Report'!$A$9:$D$314,4,FALSE)*$K$326,0)</f>
        <v>-133945</v>
      </c>
      <c r="L115" s="220">
        <f>ROUND(VLOOKUP($A115,'Contribution Allocation_Report'!$A$9:$D$314,4,FALSE)*$L$326,0)</f>
        <v>-183705</v>
      </c>
      <c r="M115" s="220">
        <f>ROUND(VLOOKUP($A115,'Contribution Allocation_Report'!$A$9:$D$314,4,FALSE)*$M$326,0)</f>
        <v>-120112</v>
      </c>
      <c r="N115" s="220">
        <f>ROUND(VLOOKUP($A115,'Contribution Allocation_Report'!$A$9:$D$314,4,FALSE)*$N$326,0)</f>
        <v>-30723</v>
      </c>
      <c r="O115" s="220">
        <f>ROUND(VLOOKUP($A115,'Contribution Allocation_Report'!$A$9:$D$314,4,FALSE)*$O$326,0)</f>
        <v>13225</v>
      </c>
      <c r="Q115" s="220">
        <f>+VLOOKUP(A115,'Change in Proportion Layers'!$AL$8:$AQ$322,2,FALSE)+K115</f>
        <v>-154525</v>
      </c>
      <c r="R115" s="220">
        <f>+VLOOKUP(A115,'Change in Proportion Layers'!$AL$8:$AQ$322,3,FALSE)+L115</f>
        <v>-234178</v>
      </c>
      <c r="S115" s="220">
        <f>+VLOOKUP(A115,'Change in Proportion Layers'!$AL$8:$AQ$322,4,FALSE)+M115</f>
        <v>-159162</v>
      </c>
      <c r="T115" s="220">
        <f>+VLOOKUP(A115,'Change in Proportion Layers'!$AL$8:$AQ$322,5,FALSE)+N115</f>
        <v>-69999</v>
      </c>
      <c r="U115" s="220">
        <f>+VLOOKUP(A115,'Change in Proportion Layers'!$AL$8:$AQ$322,6,FALSE)+O115-1</f>
        <v>-16182</v>
      </c>
      <c r="W115" s="220">
        <f>('OPEB Amounts_Report'!H115-'OPEB Amounts_Report'!M115)</f>
        <v>-634046</v>
      </c>
      <c r="X115" s="245">
        <f t="shared" si="11"/>
        <v>0</v>
      </c>
    </row>
    <row r="116" spans="1:24" s="8" customFormat="1">
      <c r="A116" s="211">
        <v>7021</v>
      </c>
      <c r="B116" s="212" t="s">
        <v>103</v>
      </c>
      <c r="C116" s="46">
        <f t="shared" si="12"/>
        <v>-4578535</v>
      </c>
      <c r="D116" s="46">
        <f t="shared" si="13"/>
        <v>-6964647</v>
      </c>
      <c r="E116" s="46">
        <f t="shared" si="14"/>
        <v>-4900125</v>
      </c>
      <c r="F116" s="46">
        <f t="shared" si="15"/>
        <v>-1419937</v>
      </c>
      <c r="G116" s="46">
        <f t="shared" si="16"/>
        <v>275274</v>
      </c>
      <c r="I116" s="49"/>
      <c r="K116" s="220">
        <f>ROUND(VLOOKUP($A116,'Contribution Allocation_Report'!$A$9:$D$314,4,FALSE)*$K$326,0)</f>
        <v>-4865827</v>
      </c>
      <c r="L116" s="220">
        <f>ROUND(VLOOKUP($A116,'Contribution Allocation_Report'!$A$9:$D$314,4,FALSE)*$L$326,0)</f>
        <v>-6673466</v>
      </c>
      <c r="M116" s="220">
        <f>ROUND(VLOOKUP($A116,'Contribution Allocation_Report'!$A$9:$D$314,4,FALSE)*$M$326,0)</f>
        <v>-4363325</v>
      </c>
      <c r="N116" s="220">
        <f>ROUND(VLOOKUP($A116,'Contribution Allocation_Report'!$A$9:$D$314,4,FALSE)*$N$326,0)</f>
        <v>-1116077</v>
      </c>
      <c r="O116" s="220">
        <f>ROUND(VLOOKUP($A116,'Contribution Allocation_Report'!$A$9:$D$314,4,FALSE)*$O$326,0)</f>
        <v>480437</v>
      </c>
      <c r="Q116" s="220">
        <f>+VLOOKUP(A116,'Change in Proportion Layers'!$AL$8:$AQ$322,2,FALSE)+K116</f>
        <v>-4578535</v>
      </c>
      <c r="R116" s="220">
        <f>+VLOOKUP(A116,'Change in Proportion Layers'!$AL$8:$AQ$322,3,FALSE)+L116</f>
        <v>-6964647</v>
      </c>
      <c r="S116" s="220">
        <f>+VLOOKUP(A116,'Change in Proportion Layers'!$AL$8:$AQ$322,4,FALSE)+M116</f>
        <v>-4900125</v>
      </c>
      <c r="T116" s="220">
        <f>+VLOOKUP(A116,'Change in Proportion Layers'!$AL$8:$AQ$322,5,FALSE)+N116</f>
        <v>-1419937</v>
      </c>
      <c r="U116" s="220">
        <f>+VLOOKUP(A116,'Change in Proportion Layers'!$AL$8:$AQ$322,6,FALSE)+O116</f>
        <v>275274</v>
      </c>
      <c r="W116" s="220">
        <f>('OPEB Amounts_Report'!H116-'OPEB Amounts_Report'!M116)</f>
        <v>-17587970</v>
      </c>
      <c r="X116" s="245">
        <f t="shared" si="11"/>
        <v>0</v>
      </c>
    </row>
    <row r="117" spans="1:24" s="8" customFormat="1">
      <c r="A117" s="209">
        <v>4140</v>
      </c>
      <c r="B117" s="210" t="s">
        <v>104</v>
      </c>
      <c r="C117" s="219">
        <f t="shared" si="12"/>
        <v>-23347</v>
      </c>
      <c r="D117" s="219">
        <f t="shared" si="13"/>
        <v>-41173</v>
      </c>
      <c r="E117" s="219">
        <f t="shared" si="14"/>
        <v>-29519</v>
      </c>
      <c r="F117" s="219">
        <f t="shared" si="15"/>
        <v>-2895</v>
      </c>
      <c r="G117" s="219">
        <f t="shared" si="16"/>
        <v>-1254</v>
      </c>
      <c r="I117" s="49"/>
      <c r="K117" s="220">
        <f>ROUND(VLOOKUP($A117,'Contribution Allocation_Report'!$A$9:$D$314,4,FALSE)*$K$326,0)</f>
        <v>-33011</v>
      </c>
      <c r="L117" s="220">
        <f>ROUND(VLOOKUP($A117,'Contribution Allocation_Report'!$A$9:$D$314,4,FALSE)*$L$326,0)</f>
        <v>-45274</v>
      </c>
      <c r="M117" s="220">
        <f>ROUND(VLOOKUP($A117,'Contribution Allocation_Report'!$A$9:$D$314,4,FALSE)*$M$326,0)</f>
        <v>-29602</v>
      </c>
      <c r="N117" s="220">
        <f>ROUND(VLOOKUP($A117,'Contribution Allocation_Report'!$A$9:$D$314,4,FALSE)*$N$326,0)</f>
        <v>-7572</v>
      </c>
      <c r="O117" s="220">
        <f>ROUND(VLOOKUP($A117,'Contribution Allocation_Report'!$A$9:$D$314,4,FALSE)*$O$326,0)</f>
        <v>3259</v>
      </c>
      <c r="Q117" s="220">
        <f>+VLOOKUP(A117,'Change in Proportion Layers'!$AL$8:$AQ$322,2,FALSE)+K117</f>
        <v>-23347</v>
      </c>
      <c r="R117" s="220">
        <f>+VLOOKUP(A117,'Change in Proportion Layers'!$AL$8:$AQ$322,3,FALSE)+L117</f>
        <v>-41173</v>
      </c>
      <c r="S117" s="220">
        <f>+VLOOKUP(A117,'Change in Proportion Layers'!$AL$8:$AQ$322,4,FALSE)+M117</f>
        <v>-29519</v>
      </c>
      <c r="T117" s="220">
        <f>+VLOOKUP(A117,'Change in Proportion Layers'!$AL$8:$AQ$322,5,FALSE)+N117</f>
        <v>-2895</v>
      </c>
      <c r="U117" s="220">
        <f>+VLOOKUP(A117,'Change in Proportion Layers'!$AL$8:$AQ$322,6,FALSE)+O117+1</f>
        <v>-1254</v>
      </c>
      <c r="W117" s="220">
        <f>('OPEB Amounts_Report'!H117-'OPEB Amounts_Report'!M117)</f>
        <v>-98188</v>
      </c>
      <c r="X117" s="245">
        <f t="shared" si="11"/>
        <v>0</v>
      </c>
    </row>
    <row r="118" spans="1:24" s="8" customFormat="1">
      <c r="A118" s="211">
        <v>13041</v>
      </c>
      <c r="B118" s="212" t="s">
        <v>105</v>
      </c>
      <c r="C118" s="46">
        <f t="shared" si="12"/>
        <v>-5326415</v>
      </c>
      <c r="D118" s="46">
        <f t="shared" si="13"/>
        <v>-6838805</v>
      </c>
      <c r="E118" s="46">
        <f t="shared" si="14"/>
        <v>-4121274</v>
      </c>
      <c r="F118" s="46">
        <f t="shared" si="15"/>
        <v>-870475</v>
      </c>
      <c r="G118" s="46">
        <f t="shared" si="16"/>
        <v>317154</v>
      </c>
      <c r="I118" s="49"/>
      <c r="K118" s="220">
        <f>ROUND(VLOOKUP($A118,'Contribution Allocation_Report'!$A$9:$D$314,4,FALSE)*$K$326,0)</f>
        <v>-4481071</v>
      </c>
      <c r="L118" s="220">
        <f>ROUND(VLOOKUP($A118,'Contribution Allocation_Report'!$A$9:$D$314,4,FALSE)*$L$326,0)</f>
        <v>-6145774</v>
      </c>
      <c r="M118" s="220">
        <f>ROUND(VLOOKUP($A118,'Contribution Allocation_Report'!$A$9:$D$314,4,FALSE)*$M$326,0)</f>
        <v>-4018303</v>
      </c>
      <c r="N118" s="220">
        <f>ROUND(VLOOKUP($A118,'Contribution Allocation_Report'!$A$9:$D$314,4,FALSE)*$N$326,0)</f>
        <v>-1027825</v>
      </c>
      <c r="O118" s="220">
        <f>ROUND(VLOOKUP($A118,'Contribution Allocation_Report'!$A$9:$D$314,4,FALSE)*$O$326,0)</f>
        <v>442448</v>
      </c>
      <c r="Q118" s="220">
        <f>+VLOOKUP(A118,'Change in Proportion Layers'!$AL$8:$AQ$322,2,FALSE)+K118</f>
        <v>-5326415</v>
      </c>
      <c r="R118" s="220">
        <f>+VLOOKUP(A118,'Change in Proportion Layers'!$AL$8:$AQ$322,3,FALSE)+L118</f>
        <v>-6838805</v>
      </c>
      <c r="S118" s="220">
        <f>+VLOOKUP(A118,'Change in Proportion Layers'!$AL$8:$AQ$322,4,FALSE)+M118</f>
        <v>-4121274</v>
      </c>
      <c r="T118" s="220">
        <f>+VLOOKUP(A118,'Change in Proportion Layers'!$AL$8:$AQ$322,5,FALSE)+N118</f>
        <v>-870475</v>
      </c>
      <c r="U118" s="220">
        <f>+VLOOKUP(A118,'Change in Proportion Layers'!$AL$8:$AQ$322,6,FALSE)+O118-2</f>
        <v>317154</v>
      </c>
      <c r="W118" s="220">
        <f>('OPEB Amounts_Report'!H118-'OPEB Amounts_Report'!M118)</f>
        <v>-16839815</v>
      </c>
      <c r="X118" s="245">
        <f t="shared" si="11"/>
        <v>0</v>
      </c>
    </row>
    <row r="119" spans="1:24" s="8" customFormat="1">
      <c r="A119" s="209">
        <v>2339</v>
      </c>
      <c r="B119" s="210" t="s">
        <v>106</v>
      </c>
      <c r="C119" s="219">
        <f t="shared" si="12"/>
        <v>-61702</v>
      </c>
      <c r="D119" s="219">
        <f t="shared" si="13"/>
        <v>-85564</v>
      </c>
      <c r="E119" s="219">
        <f t="shared" si="14"/>
        <v>-59540</v>
      </c>
      <c r="F119" s="219">
        <f t="shared" si="15"/>
        <v>-209</v>
      </c>
      <c r="G119" s="219">
        <f t="shared" si="16"/>
        <v>-3690</v>
      </c>
      <c r="I119" s="49"/>
      <c r="K119" s="220">
        <f>ROUND(VLOOKUP($A119,'Contribution Allocation_Report'!$A$9:$D$314,4,FALSE)*$K$326,0)</f>
        <v>-65849</v>
      </c>
      <c r="L119" s="220">
        <f>ROUND(VLOOKUP($A119,'Contribution Allocation_Report'!$A$9:$D$314,4,FALSE)*$L$326,0)</f>
        <v>-90311</v>
      </c>
      <c r="M119" s="220">
        <f>ROUND(VLOOKUP($A119,'Contribution Allocation_Report'!$A$9:$D$314,4,FALSE)*$M$326,0)</f>
        <v>-59048</v>
      </c>
      <c r="N119" s="220">
        <f>ROUND(VLOOKUP($A119,'Contribution Allocation_Report'!$A$9:$D$314,4,FALSE)*$N$326,0)</f>
        <v>-15104</v>
      </c>
      <c r="O119" s="220">
        <f>ROUND(VLOOKUP($A119,'Contribution Allocation_Report'!$A$9:$D$314,4,FALSE)*$O$326,0)</f>
        <v>6502</v>
      </c>
      <c r="Q119" s="220">
        <f>+VLOOKUP(A119,'Change in Proportion Layers'!$AL$8:$AQ$322,2,FALSE)+K119</f>
        <v>-61702</v>
      </c>
      <c r="R119" s="220">
        <f>+VLOOKUP(A119,'Change in Proportion Layers'!$AL$8:$AQ$322,3,FALSE)+L119</f>
        <v>-85564</v>
      </c>
      <c r="S119" s="220">
        <f>+VLOOKUP(A119,'Change in Proportion Layers'!$AL$8:$AQ$322,4,FALSE)+M119</f>
        <v>-59540</v>
      </c>
      <c r="T119" s="220">
        <f>+VLOOKUP(A119,'Change in Proportion Layers'!$AL$8:$AQ$322,5,FALSE)+N119</f>
        <v>-209</v>
      </c>
      <c r="U119" s="220">
        <f>+VLOOKUP(A119,'Change in Proportion Layers'!$AL$8:$AQ$322,6,FALSE)+O119</f>
        <v>-3690</v>
      </c>
      <c r="W119" s="220">
        <f>('OPEB Amounts_Report'!H119-'OPEB Amounts_Report'!M119)</f>
        <v>-210705</v>
      </c>
      <c r="X119" s="245">
        <f t="shared" si="11"/>
        <v>0</v>
      </c>
    </row>
    <row r="120" spans="1:24" s="8" customFormat="1">
      <c r="A120" s="211">
        <v>2362</v>
      </c>
      <c r="B120" s="212" t="s">
        <v>107</v>
      </c>
      <c r="C120" s="46">
        <f t="shared" si="12"/>
        <v>-215864</v>
      </c>
      <c r="D120" s="46">
        <f t="shared" si="13"/>
        <v>-227113</v>
      </c>
      <c r="E120" s="46">
        <f t="shared" si="14"/>
        <v>-94292</v>
      </c>
      <c r="F120" s="46">
        <f t="shared" si="15"/>
        <v>-52990</v>
      </c>
      <c r="G120" s="46">
        <f t="shared" si="16"/>
        <v>11296</v>
      </c>
      <c r="I120" s="49"/>
      <c r="K120" s="220">
        <f>ROUND(VLOOKUP($A120,'Contribution Allocation_Report'!$A$9:$D$314,4,FALSE)*$K$326,0)</f>
        <v>-73367</v>
      </c>
      <c r="L120" s="220">
        <f>ROUND(VLOOKUP($A120,'Contribution Allocation_Report'!$A$9:$D$314,4,FALSE)*$L$326,0)</f>
        <v>-100623</v>
      </c>
      <c r="M120" s="220">
        <f>ROUND(VLOOKUP($A120,'Contribution Allocation_Report'!$A$9:$D$314,4,FALSE)*$M$326,0)</f>
        <v>-65791</v>
      </c>
      <c r="N120" s="220">
        <f>ROUND(VLOOKUP($A120,'Contribution Allocation_Report'!$A$9:$D$314,4,FALSE)*$N$326,0)</f>
        <v>-16828</v>
      </c>
      <c r="O120" s="220">
        <f>ROUND(VLOOKUP($A120,'Contribution Allocation_Report'!$A$9:$D$314,4,FALSE)*$O$326,0)</f>
        <v>7244</v>
      </c>
      <c r="Q120" s="220">
        <f>+VLOOKUP(A120,'Change in Proportion Layers'!$AL$8:$AQ$322,2,FALSE)+K120</f>
        <v>-215864</v>
      </c>
      <c r="R120" s="220">
        <f>+VLOOKUP(A120,'Change in Proportion Layers'!$AL$8:$AQ$322,3,FALSE)+L120</f>
        <v>-227113</v>
      </c>
      <c r="S120" s="220">
        <f>+VLOOKUP(A120,'Change in Proportion Layers'!$AL$8:$AQ$322,4,FALSE)+M120</f>
        <v>-94292</v>
      </c>
      <c r="T120" s="220">
        <f>+VLOOKUP(A120,'Change in Proportion Layers'!$AL$8:$AQ$322,5,FALSE)+N120</f>
        <v>-52990</v>
      </c>
      <c r="U120" s="220">
        <f>+VLOOKUP(A120,'Change in Proportion Layers'!$AL$8:$AQ$322,6,FALSE)+O120-1</f>
        <v>11296</v>
      </c>
      <c r="W120" s="220">
        <f>('OPEB Amounts_Report'!H120-'OPEB Amounts_Report'!M120)</f>
        <v>-578963</v>
      </c>
      <c r="X120" s="245">
        <f t="shared" si="11"/>
        <v>0</v>
      </c>
    </row>
    <row r="121" spans="1:24" s="8" customFormat="1">
      <c r="A121" s="209">
        <v>5013</v>
      </c>
      <c r="B121" s="210" t="s">
        <v>108</v>
      </c>
      <c r="C121" s="219">
        <f t="shared" si="12"/>
        <v>-74191</v>
      </c>
      <c r="D121" s="219">
        <f t="shared" si="13"/>
        <v>-106323</v>
      </c>
      <c r="E121" s="219">
        <f t="shared" si="14"/>
        <v>-75651</v>
      </c>
      <c r="F121" s="219">
        <f t="shared" si="15"/>
        <v>-21033</v>
      </c>
      <c r="G121" s="219">
        <f t="shared" si="16"/>
        <v>-1066</v>
      </c>
      <c r="I121" s="49"/>
      <c r="K121" s="220">
        <f>ROUND(VLOOKUP($A121,'Contribution Allocation_Report'!$A$9:$D$314,4,FALSE)*$K$326,0)</f>
        <v>-79077</v>
      </c>
      <c r="L121" s="220">
        <f>ROUND(VLOOKUP($A121,'Contribution Allocation_Report'!$A$9:$D$314,4,FALSE)*$L$326,0)</f>
        <v>-108454</v>
      </c>
      <c r="M121" s="220">
        <f>ROUND(VLOOKUP($A121,'Contribution Allocation_Report'!$A$9:$D$314,4,FALSE)*$M$326,0)</f>
        <v>-70911</v>
      </c>
      <c r="N121" s="220">
        <f>ROUND(VLOOKUP($A121,'Contribution Allocation_Report'!$A$9:$D$314,4,FALSE)*$N$326,0)</f>
        <v>-18138</v>
      </c>
      <c r="O121" s="220">
        <f>ROUND(VLOOKUP($A121,'Contribution Allocation_Report'!$A$9:$D$314,4,FALSE)*$O$326,0)</f>
        <v>7808</v>
      </c>
      <c r="Q121" s="220">
        <f>+VLOOKUP(A121,'Change in Proportion Layers'!$AL$8:$AQ$322,2,FALSE)+K121</f>
        <v>-74191</v>
      </c>
      <c r="R121" s="220">
        <f>+VLOOKUP(A121,'Change in Proportion Layers'!$AL$8:$AQ$322,3,FALSE)+L121</f>
        <v>-106323</v>
      </c>
      <c r="S121" s="220">
        <f>+VLOOKUP(A121,'Change in Proportion Layers'!$AL$8:$AQ$322,4,FALSE)+M121</f>
        <v>-75651</v>
      </c>
      <c r="T121" s="220">
        <f>+VLOOKUP(A121,'Change in Proportion Layers'!$AL$8:$AQ$322,5,FALSE)+N121</f>
        <v>-21033</v>
      </c>
      <c r="U121" s="220">
        <f>+VLOOKUP(A121,'Change in Proportion Layers'!$AL$8:$AQ$322,6,FALSE)+O121</f>
        <v>-1066</v>
      </c>
      <c r="W121" s="220">
        <f>('OPEB Amounts_Report'!H121-'OPEB Amounts_Report'!M121)</f>
        <v>-278264</v>
      </c>
      <c r="X121" s="245">
        <f t="shared" si="11"/>
        <v>0</v>
      </c>
    </row>
    <row r="122" spans="1:24" s="8" customFormat="1">
      <c r="A122" s="211">
        <v>3110</v>
      </c>
      <c r="B122" s="212" t="s">
        <v>109</v>
      </c>
      <c r="C122" s="46">
        <f t="shared" si="12"/>
        <v>-563756</v>
      </c>
      <c r="D122" s="46">
        <f t="shared" si="13"/>
        <v>-634623</v>
      </c>
      <c r="E122" s="46">
        <f t="shared" si="14"/>
        <v>-466414</v>
      </c>
      <c r="F122" s="46">
        <f t="shared" si="15"/>
        <v>-169759</v>
      </c>
      <c r="G122" s="46">
        <f t="shared" si="16"/>
        <v>47507</v>
      </c>
      <c r="I122" s="49"/>
      <c r="K122" s="220">
        <f>ROUND(VLOOKUP($A122,'Contribution Allocation_Report'!$A$9:$D$314,4,FALSE)*$K$326,0)</f>
        <v>-348910</v>
      </c>
      <c r="L122" s="220">
        <f>ROUND(VLOOKUP($A122,'Contribution Allocation_Report'!$A$9:$D$314,4,FALSE)*$L$326,0)</f>
        <v>-478529</v>
      </c>
      <c r="M122" s="220">
        <f>ROUND(VLOOKUP($A122,'Contribution Allocation_Report'!$A$9:$D$314,4,FALSE)*$M$326,0)</f>
        <v>-312877</v>
      </c>
      <c r="N122" s="220">
        <f>ROUND(VLOOKUP($A122,'Contribution Allocation_Report'!$A$9:$D$314,4,FALSE)*$N$326,0)</f>
        <v>-80030</v>
      </c>
      <c r="O122" s="220">
        <f>ROUND(VLOOKUP($A122,'Contribution Allocation_Report'!$A$9:$D$314,4,FALSE)*$O$326,0)</f>
        <v>34450</v>
      </c>
      <c r="Q122" s="220">
        <f>+VLOOKUP(A122,'Change in Proportion Layers'!$AL$8:$AQ$322,2,FALSE)+K122</f>
        <v>-563756</v>
      </c>
      <c r="R122" s="220">
        <f>+VLOOKUP(A122,'Change in Proportion Layers'!$AL$8:$AQ$322,3,FALSE)+L122</f>
        <v>-634623</v>
      </c>
      <c r="S122" s="220">
        <f>+VLOOKUP(A122,'Change in Proportion Layers'!$AL$8:$AQ$322,4,FALSE)+M122</f>
        <v>-466414</v>
      </c>
      <c r="T122" s="220">
        <f>+VLOOKUP(A122,'Change in Proportion Layers'!$AL$8:$AQ$322,5,FALSE)+N122</f>
        <v>-169759</v>
      </c>
      <c r="U122" s="220">
        <f>+VLOOKUP(A122,'Change in Proportion Layers'!$AL$8:$AQ$322,6,FALSE)+O122</f>
        <v>47507</v>
      </c>
      <c r="W122" s="220">
        <f>('OPEB Amounts_Report'!H122-'OPEB Amounts_Report'!M122)</f>
        <v>-1787045</v>
      </c>
      <c r="X122" s="245">
        <f t="shared" si="11"/>
        <v>0</v>
      </c>
    </row>
    <row r="123" spans="1:24" s="8" customFormat="1">
      <c r="A123" s="209">
        <v>14044</v>
      </c>
      <c r="B123" s="210" t="s">
        <v>110</v>
      </c>
      <c r="C123" s="219">
        <f t="shared" si="12"/>
        <v>-1198206</v>
      </c>
      <c r="D123" s="219">
        <f t="shared" si="13"/>
        <v>-1862693</v>
      </c>
      <c r="E123" s="219">
        <f t="shared" si="14"/>
        <v>-1130059</v>
      </c>
      <c r="F123" s="219">
        <f t="shared" si="15"/>
        <v>-93448</v>
      </c>
      <c r="G123" s="219">
        <f t="shared" si="16"/>
        <v>154213</v>
      </c>
      <c r="I123" s="49"/>
      <c r="K123" s="220">
        <f>ROUND(VLOOKUP($A123,'Contribution Allocation_Report'!$A$9:$D$314,4,FALSE)*$K$326,0)</f>
        <v>-1357958</v>
      </c>
      <c r="L123" s="220">
        <f>ROUND(VLOOKUP($A123,'Contribution Allocation_Report'!$A$9:$D$314,4,FALSE)*$L$326,0)</f>
        <v>-1862435</v>
      </c>
      <c r="M123" s="220">
        <f>ROUND(VLOOKUP($A123,'Contribution Allocation_Report'!$A$9:$D$314,4,FALSE)*$M$326,0)</f>
        <v>-1217720</v>
      </c>
      <c r="N123" s="220">
        <f>ROUND(VLOOKUP($A123,'Contribution Allocation_Report'!$A$9:$D$314,4,FALSE)*$N$326,0)</f>
        <v>-311475</v>
      </c>
      <c r="O123" s="220">
        <f>ROUND(VLOOKUP($A123,'Contribution Allocation_Report'!$A$9:$D$314,4,FALSE)*$O$326,0)</f>
        <v>134081</v>
      </c>
      <c r="Q123" s="220">
        <f>+VLOOKUP(A123,'Change in Proportion Layers'!$AL$8:$AQ$322,2,FALSE)+K123</f>
        <v>-1198206</v>
      </c>
      <c r="R123" s="220">
        <f>+VLOOKUP(A123,'Change in Proportion Layers'!$AL$8:$AQ$322,3,FALSE)+L123</f>
        <v>-1862693</v>
      </c>
      <c r="S123" s="220">
        <f>+VLOOKUP(A123,'Change in Proportion Layers'!$AL$8:$AQ$322,4,FALSE)+M123</f>
        <v>-1130059</v>
      </c>
      <c r="T123" s="220">
        <f>+VLOOKUP(A123,'Change in Proportion Layers'!$AL$8:$AQ$322,5,FALSE)+N123</f>
        <v>-93448</v>
      </c>
      <c r="U123" s="220">
        <f>+VLOOKUP(A123,'Change in Proportion Layers'!$AL$8:$AQ$322,6,FALSE)+O123</f>
        <v>154213</v>
      </c>
      <c r="W123" s="220">
        <f>('OPEB Amounts_Report'!H123-'OPEB Amounts_Report'!M123)</f>
        <v>-4130193</v>
      </c>
      <c r="X123" s="245">
        <f t="shared" si="11"/>
        <v>0</v>
      </c>
    </row>
    <row r="124" spans="1:24" s="8" customFormat="1">
      <c r="A124" s="211">
        <v>4009</v>
      </c>
      <c r="B124" s="212" t="s">
        <v>111</v>
      </c>
      <c r="C124" s="46">
        <f t="shared" si="12"/>
        <v>-224897</v>
      </c>
      <c r="D124" s="46">
        <f t="shared" si="13"/>
        <v>-269271</v>
      </c>
      <c r="E124" s="46">
        <f t="shared" si="14"/>
        <v>-162643</v>
      </c>
      <c r="F124" s="46">
        <f t="shared" si="15"/>
        <v>-8256</v>
      </c>
      <c r="G124" s="46">
        <f t="shared" si="16"/>
        <v>56402</v>
      </c>
      <c r="I124" s="49"/>
      <c r="K124" s="220">
        <f>ROUND(VLOOKUP($A124,'Contribution Allocation_Report'!$A$9:$D$314,4,FALSE)*$K$326,0)</f>
        <v>-179082</v>
      </c>
      <c r="L124" s="220">
        <f>ROUND(VLOOKUP($A124,'Contribution Allocation_Report'!$A$9:$D$314,4,FALSE)*$L$326,0)</f>
        <v>-245610</v>
      </c>
      <c r="M124" s="220">
        <f>ROUND(VLOOKUP($A124,'Contribution Allocation_Report'!$A$9:$D$314,4,FALSE)*$M$326,0)</f>
        <v>-160587</v>
      </c>
      <c r="N124" s="220">
        <f>ROUND(VLOOKUP($A124,'Contribution Allocation_Report'!$A$9:$D$314,4,FALSE)*$N$326,0)</f>
        <v>-41076</v>
      </c>
      <c r="O124" s="220">
        <f>ROUND(VLOOKUP($A124,'Contribution Allocation_Report'!$A$9:$D$314,4,FALSE)*$O$326,0)</f>
        <v>17682</v>
      </c>
      <c r="Q124" s="220">
        <f>+VLOOKUP(A124,'Change in Proportion Layers'!$AL$8:$AQ$322,2,FALSE)+K124</f>
        <v>-224897</v>
      </c>
      <c r="R124" s="220">
        <f>+VLOOKUP(A124,'Change in Proportion Layers'!$AL$8:$AQ$322,3,FALSE)+L124</f>
        <v>-269271</v>
      </c>
      <c r="S124" s="220">
        <f>+VLOOKUP(A124,'Change in Proportion Layers'!$AL$8:$AQ$322,4,FALSE)+M124</f>
        <v>-162643</v>
      </c>
      <c r="T124" s="220">
        <f>+VLOOKUP(A124,'Change in Proportion Layers'!$AL$8:$AQ$322,5,FALSE)+N124</f>
        <v>-8256</v>
      </c>
      <c r="U124" s="220">
        <f>+VLOOKUP(A124,'Change in Proportion Layers'!$AL$8:$AQ$322,6,FALSE)+O124</f>
        <v>56402</v>
      </c>
      <c r="W124" s="220">
        <f>('OPEB Amounts_Report'!H124-'OPEB Amounts_Report'!M124)</f>
        <v>-608665</v>
      </c>
      <c r="X124" s="245">
        <f t="shared" si="11"/>
        <v>0</v>
      </c>
    </row>
    <row r="125" spans="1:24" s="8" customFormat="1">
      <c r="A125" s="209">
        <v>7022</v>
      </c>
      <c r="B125" s="210" t="s">
        <v>112</v>
      </c>
      <c r="C125" s="219">
        <f t="shared" si="12"/>
        <v>-361582</v>
      </c>
      <c r="D125" s="219">
        <f t="shared" si="13"/>
        <v>-592728</v>
      </c>
      <c r="E125" s="219">
        <f t="shared" si="14"/>
        <v>-345202</v>
      </c>
      <c r="F125" s="219">
        <f t="shared" si="15"/>
        <v>-106719</v>
      </c>
      <c r="G125" s="219">
        <f t="shared" si="16"/>
        <v>-12256</v>
      </c>
      <c r="I125" s="49"/>
      <c r="K125" s="220">
        <f>ROUND(VLOOKUP($A125,'Contribution Allocation_Report'!$A$9:$D$314,4,FALSE)*$K$326,0)</f>
        <v>-506532</v>
      </c>
      <c r="L125" s="220">
        <f>ROUND(VLOOKUP($A125,'Contribution Allocation_Report'!$A$9:$D$314,4,FALSE)*$L$326,0)</f>
        <v>-694706</v>
      </c>
      <c r="M125" s="220">
        <f>ROUND(VLOOKUP($A125,'Contribution Allocation_Report'!$A$9:$D$314,4,FALSE)*$M$326,0)</f>
        <v>-454221</v>
      </c>
      <c r="N125" s="220">
        <f>ROUND(VLOOKUP($A125,'Contribution Allocation_Report'!$A$9:$D$314,4,FALSE)*$N$326,0)</f>
        <v>-116183</v>
      </c>
      <c r="O125" s="220">
        <f>ROUND(VLOOKUP($A125,'Contribution Allocation_Report'!$A$9:$D$314,4,FALSE)*$O$326,0)</f>
        <v>50013</v>
      </c>
      <c r="Q125" s="220">
        <f>+VLOOKUP(A125,'Change in Proportion Layers'!$AL$8:$AQ$322,2,FALSE)+K125</f>
        <v>-361582</v>
      </c>
      <c r="R125" s="220">
        <f>+VLOOKUP(A125,'Change in Proportion Layers'!$AL$8:$AQ$322,3,FALSE)+L125</f>
        <v>-592728</v>
      </c>
      <c r="S125" s="220">
        <f>+VLOOKUP(A125,'Change in Proportion Layers'!$AL$8:$AQ$322,4,FALSE)+M125</f>
        <v>-345202</v>
      </c>
      <c r="T125" s="220">
        <f>+VLOOKUP(A125,'Change in Proportion Layers'!$AL$8:$AQ$322,5,FALSE)+N125</f>
        <v>-106719</v>
      </c>
      <c r="U125" s="220">
        <f>+VLOOKUP(A125,'Change in Proportion Layers'!$AL$8:$AQ$322,6,FALSE)+O125-1</f>
        <v>-12256</v>
      </c>
      <c r="W125" s="220">
        <f>('OPEB Amounts_Report'!H125-'OPEB Amounts_Report'!M125)</f>
        <v>-1418487</v>
      </c>
      <c r="X125" s="245">
        <f t="shared" si="11"/>
        <v>0</v>
      </c>
    </row>
    <row r="126" spans="1:24" s="8" customFormat="1">
      <c r="A126" s="211">
        <v>2430</v>
      </c>
      <c r="B126" s="212" t="s">
        <v>113</v>
      </c>
      <c r="C126" s="46">
        <f t="shared" si="12"/>
        <v>-128885</v>
      </c>
      <c r="D126" s="46">
        <f t="shared" si="13"/>
        <v>-111337</v>
      </c>
      <c r="E126" s="46">
        <f t="shared" si="14"/>
        <v>-72537</v>
      </c>
      <c r="F126" s="46">
        <f t="shared" si="15"/>
        <v>-27413</v>
      </c>
      <c r="G126" s="46">
        <f t="shared" si="16"/>
        <v>-4302</v>
      </c>
      <c r="I126" s="49"/>
      <c r="K126" s="220">
        <f>ROUND(VLOOKUP($A126,'Contribution Allocation_Report'!$A$9:$D$314,4,FALSE)*$K$326,0)</f>
        <v>-65314</v>
      </c>
      <c r="L126" s="220">
        <f>ROUND(VLOOKUP($A126,'Contribution Allocation_Report'!$A$9:$D$314,4,FALSE)*$L$326,0)</f>
        <v>-89578</v>
      </c>
      <c r="M126" s="220">
        <f>ROUND(VLOOKUP($A126,'Contribution Allocation_Report'!$A$9:$D$314,4,FALSE)*$M$326,0)</f>
        <v>-58569</v>
      </c>
      <c r="N126" s="220">
        <f>ROUND(VLOOKUP($A126,'Contribution Allocation_Report'!$A$9:$D$314,4,FALSE)*$N$326,0)</f>
        <v>-14981</v>
      </c>
      <c r="O126" s="220">
        <f>ROUND(VLOOKUP($A126,'Contribution Allocation_Report'!$A$9:$D$314,4,FALSE)*$O$326,0)</f>
        <v>6449</v>
      </c>
      <c r="Q126" s="220">
        <f>+VLOOKUP(A126,'Change in Proportion Layers'!$AL$8:$AQ$322,2,FALSE)+K126</f>
        <v>-128885</v>
      </c>
      <c r="R126" s="220">
        <f>+VLOOKUP(A126,'Change in Proportion Layers'!$AL$8:$AQ$322,3,FALSE)+L126</f>
        <v>-111337</v>
      </c>
      <c r="S126" s="220">
        <f>+VLOOKUP(A126,'Change in Proportion Layers'!$AL$8:$AQ$322,4,FALSE)+M126</f>
        <v>-72537</v>
      </c>
      <c r="T126" s="220">
        <f>+VLOOKUP(A126,'Change in Proportion Layers'!$AL$8:$AQ$322,5,FALSE)+N126</f>
        <v>-27413</v>
      </c>
      <c r="U126" s="220">
        <f>+VLOOKUP(A126,'Change in Proportion Layers'!$AL$8:$AQ$322,6,FALSE)+O126+1</f>
        <v>-4302</v>
      </c>
      <c r="W126" s="220">
        <f>('OPEB Amounts_Report'!H126-'OPEB Amounts_Report'!M126)</f>
        <v>-344474</v>
      </c>
      <c r="X126" s="245">
        <f t="shared" si="11"/>
        <v>0</v>
      </c>
    </row>
    <row r="127" spans="1:24" s="8" customFormat="1">
      <c r="A127" s="209">
        <v>9150</v>
      </c>
      <c r="B127" s="210" t="s">
        <v>114</v>
      </c>
      <c r="C127" s="219">
        <f t="shared" si="12"/>
        <v>-157057</v>
      </c>
      <c r="D127" s="219">
        <f t="shared" si="13"/>
        <v>-73800</v>
      </c>
      <c r="E127" s="219">
        <f t="shared" si="14"/>
        <v>-39277</v>
      </c>
      <c r="F127" s="219">
        <f t="shared" si="15"/>
        <v>-10243</v>
      </c>
      <c r="G127" s="219">
        <f t="shared" si="16"/>
        <v>11082</v>
      </c>
      <c r="I127" s="49"/>
      <c r="K127" s="220">
        <f>ROUND(VLOOKUP($A127,'Contribution Allocation_Report'!$A$9:$D$314,4,FALSE)*$K$326,0)</f>
        <v>-36629</v>
      </c>
      <c r="L127" s="220">
        <f>ROUND(VLOOKUP($A127,'Contribution Allocation_Report'!$A$9:$D$314,4,FALSE)*$L$326,0)</f>
        <v>-50236</v>
      </c>
      <c r="M127" s="220">
        <f>ROUND(VLOOKUP($A127,'Contribution Allocation_Report'!$A$9:$D$314,4,FALSE)*$M$326,0)</f>
        <v>-32846</v>
      </c>
      <c r="N127" s="220">
        <f>ROUND(VLOOKUP($A127,'Contribution Allocation_Report'!$A$9:$D$314,4,FALSE)*$N$326,0)</f>
        <v>-8402</v>
      </c>
      <c r="O127" s="220">
        <f>ROUND(VLOOKUP($A127,'Contribution Allocation_Report'!$A$9:$D$314,4,FALSE)*$O$326,0)</f>
        <v>3617</v>
      </c>
      <c r="Q127" s="220">
        <f>+VLOOKUP(A127,'Change in Proportion Layers'!$AL$8:$AQ$322,2,FALSE)+K127</f>
        <v>-157057</v>
      </c>
      <c r="R127" s="220">
        <f>+VLOOKUP(A127,'Change in Proportion Layers'!$AL$8:$AQ$322,3,FALSE)+L127</f>
        <v>-73800</v>
      </c>
      <c r="S127" s="220">
        <f>+VLOOKUP(A127,'Change in Proportion Layers'!$AL$8:$AQ$322,4,FALSE)+M127</f>
        <v>-39277</v>
      </c>
      <c r="T127" s="220">
        <f>+VLOOKUP(A127,'Change in Proportion Layers'!$AL$8:$AQ$322,5,FALSE)+N127</f>
        <v>-10243</v>
      </c>
      <c r="U127" s="220">
        <f>+VLOOKUP(A127,'Change in Proportion Layers'!$AL$8:$AQ$322,6,FALSE)+O127</f>
        <v>11082</v>
      </c>
      <c r="W127" s="220">
        <f>('OPEB Amounts_Report'!H127-'OPEB Amounts_Report'!M127)</f>
        <v>-269295</v>
      </c>
      <c r="X127" s="245">
        <f t="shared" si="11"/>
        <v>0</v>
      </c>
    </row>
    <row r="128" spans="1:24" s="8" customFormat="1">
      <c r="A128" s="211">
        <v>6017</v>
      </c>
      <c r="B128" s="212" t="s">
        <v>115</v>
      </c>
      <c r="C128" s="46">
        <f t="shared" si="12"/>
        <v>-2440341</v>
      </c>
      <c r="D128" s="46">
        <f t="shared" si="13"/>
        <v>-4132072</v>
      </c>
      <c r="E128" s="46">
        <f t="shared" si="14"/>
        <v>-3201095</v>
      </c>
      <c r="F128" s="46">
        <f t="shared" si="15"/>
        <v>-783977</v>
      </c>
      <c r="G128" s="46">
        <f t="shared" si="16"/>
        <v>70846</v>
      </c>
      <c r="I128" s="49"/>
      <c r="K128" s="220">
        <f>ROUND(VLOOKUP($A128,'Contribution Allocation_Report'!$A$9:$D$314,4,FALSE)*$K$326,0)</f>
        <v>-3510901</v>
      </c>
      <c r="L128" s="220">
        <f>ROUND(VLOOKUP($A128,'Contribution Allocation_Report'!$A$9:$D$314,4,FALSE)*$L$326,0)</f>
        <v>-4815190</v>
      </c>
      <c r="M128" s="220">
        <f>ROUND(VLOOKUP($A128,'Contribution Allocation_Report'!$A$9:$D$314,4,FALSE)*$M$326,0)</f>
        <v>-3148325</v>
      </c>
      <c r="N128" s="220">
        <f>ROUND(VLOOKUP($A128,'Contribution Allocation_Report'!$A$9:$D$314,4,FALSE)*$N$326,0)</f>
        <v>-805297</v>
      </c>
      <c r="O128" s="220">
        <f>ROUND(VLOOKUP($A128,'Contribution Allocation_Report'!$A$9:$D$314,4,FALSE)*$O$326,0)</f>
        <v>346656</v>
      </c>
      <c r="Q128" s="220">
        <f>+VLOOKUP(A128,'Change in Proportion Layers'!$AL$8:$AQ$322,2,FALSE)+K128</f>
        <v>-2440341</v>
      </c>
      <c r="R128" s="220">
        <f>+VLOOKUP(A128,'Change in Proportion Layers'!$AL$8:$AQ$322,3,FALSE)+L128</f>
        <v>-4132072</v>
      </c>
      <c r="S128" s="220">
        <f>+VLOOKUP(A128,'Change in Proportion Layers'!$AL$8:$AQ$322,4,FALSE)+M128</f>
        <v>-3201095</v>
      </c>
      <c r="T128" s="220">
        <f>+VLOOKUP(A128,'Change in Proportion Layers'!$AL$8:$AQ$322,5,FALSE)+N128</f>
        <v>-783977</v>
      </c>
      <c r="U128" s="220">
        <f>+VLOOKUP(A128,'Change in Proportion Layers'!$AL$8:$AQ$322,6,FALSE)+O128</f>
        <v>70846</v>
      </c>
      <c r="W128" s="220">
        <f>('OPEB Amounts_Report'!H128-'OPEB Amounts_Report'!M128)</f>
        <v>-10486639</v>
      </c>
      <c r="X128" s="245">
        <f t="shared" si="11"/>
        <v>0</v>
      </c>
    </row>
    <row r="129" spans="1:24" s="8" customFormat="1">
      <c r="A129" s="209">
        <v>26080</v>
      </c>
      <c r="B129" s="210" t="s">
        <v>116</v>
      </c>
      <c r="C129" s="219">
        <f t="shared" si="12"/>
        <v>-63510</v>
      </c>
      <c r="D129" s="219">
        <f t="shared" si="13"/>
        <v>-102680</v>
      </c>
      <c r="E129" s="219">
        <f t="shared" si="14"/>
        <v>-76533</v>
      </c>
      <c r="F129" s="219">
        <f t="shared" si="15"/>
        <v>-40965</v>
      </c>
      <c r="G129" s="219">
        <f t="shared" si="16"/>
        <v>9427</v>
      </c>
      <c r="I129" s="49"/>
      <c r="K129" s="220">
        <f>ROUND(VLOOKUP($A129,'Contribution Allocation_Report'!$A$9:$D$314,4,FALSE)*$K$326,0)</f>
        <v>-103964</v>
      </c>
      <c r="L129" s="220">
        <f>ROUND(VLOOKUP($A129,'Contribution Allocation_Report'!$A$9:$D$314,4,FALSE)*$L$326,0)</f>
        <v>-142587</v>
      </c>
      <c r="M129" s="220">
        <f>ROUND(VLOOKUP($A129,'Contribution Allocation_Report'!$A$9:$D$314,4,FALSE)*$M$326,0)</f>
        <v>-93228</v>
      </c>
      <c r="N129" s="220">
        <f>ROUND(VLOOKUP($A129,'Contribution Allocation_Report'!$A$9:$D$314,4,FALSE)*$N$326,0)</f>
        <v>-23846</v>
      </c>
      <c r="O129" s="220">
        <f>ROUND(VLOOKUP($A129,'Contribution Allocation_Report'!$A$9:$D$314,4,FALSE)*$O$326,0)</f>
        <v>10265</v>
      </c>
      <c r="Q129" s="220">
        <f>+VLOOKUP(A129,'Change in Proportion Layers'!$AL$8:$AQ$322,2,FALSE)+K129</f>
        <v>-63510</v>
      </c>
      <c r="R129" s="220">
        <f>+VLOOKUP(A129,'Change in Proportion Layers'!$AL$8:$AQ$322,3,FALSE)+L129</f>
        <v>-102680</v>
      </c>
      <c r="S129" s="220">
        <f>+VLOOKUP(A129,'Change in Proportion Layers'!$AL$8:$AQ$322,4,FALSE)+M129</f>
        <v>-76533</v>
      </c>
      <c r="T129" s="220">
        <f>+VLOOKUP(A129,'Change in Proportion Layers'!$AL$8:$AQ$322,5,FALSE)+N129</f>
        <v>-40965</v>
      </c>
      <c r="U129" s="220">
        <f>+VLOOKUP(A129,'Change in Proportion Layers'!$AL$8:$AQ$322,6,FALSE)+O129+1</f>
        <v>9427</v>
      </c>
      <c r="W129" s="220">
        <f>('OPEB Amounts_Report'!H129-'OPEB Amounts_Report'!M129)</f>
        <v>-274261</v>
      </c>
      <c r="X129" s="245">
        <f t="shared" si="11"/>
        <v>0</v>
      </c>
    </row>
    <row r="130" spans="1:24" s="8" customFormat="1">
      <c r="A130" s="211">
        <v>2327</v>
      </c>
      <c r="B130" s="212" t="s">
        <v>117</v>
      </c>
      <c r="C130" s="46">
        <f t="shared" si="12"/>
        <v>-124739</v>
      </c>
      <c r="D130" s="46">
        <f t="shared" si="13"/>
        <v>-192151</v>
      </c>
      <c r="E130" s="46">
        <f t="shared" si="14"/>
        <v>-96365</v>
      </c>
      <c r="F130" s="46">
        <f t="shared" si="15"/>
        <v>-11085</v>
      </c>
      <c r="G130" s="46">
        <f t="shared" si="16"/>
        <v>17646</v>
      </c>
      <c r="I130" s="49"/>
      <c r="K130" s="220">
        <f>ROUND(VLOOKUP($A130,'Contribution Allocation_Report'!$A$9:$D$314,4,FALSE)*$K$326,0)</f>
        <v>-129878</v>
      </c>
      <c r="L130" s="220">
        <f>ROUND(VLOOKUP($A130,'Contribution Allocation_Report'!$A$9:$D$314,4,FALSE)*$L$326,0)</f>
        <v>-178127</v>
      </c>
      <c r="M130" s="220">
        <f>ROUND(VLOOKUP($A130,'Contribution Allocation_Report'!$A$9:$D$314,4,FALSE)*$M$326,0)</f>
        <v>-116465</v>
      </c>
      <c r="N130" s="220">
        <f>ROUND(VLOOKUP($A130,'Contribution Allocation_Report'!$A$9:$D$314,4,FALSE)*$N$326,0)</f>
        <v>-29790</v>
      </c>
      <c r="O130" s="220">
        <f>ROUND(VLOOKUP($A130,'Contribution Allocation_Report'!$A$9:$D$314,4,FALSE)*$O$326,0)</f>
        <v>12824</v>
      </c>
      <c r="Q130" s="220">
        <f>+VLOOKUP(A130,'Change in Proportion Layers'!$AL$8:$AQ$322,2,FALSE)+K130</f>
        <v>-124739</v>
      </c>
      <c r="R130" s="220">
        <f>+VLOOKUP(A130,'Change in Proportion Layers'!$AL$8:$AQ$322,3,FALSE)+L130</f>
        <v>-192151</v>
      </c>
      <c r="S130" s="220">
        <f>+VLOOKUP(A130,'Change in Proportion Layers'!$AL$8:$AQ$322,4,FALSE)+M130</f>
        <v>-96365</v>
      </c>
      <c r="T130" s="220">
        <f>+VLOOKUP(A130,'Change in Proportion Layers'!$AL$8:$AQ$322,5,FALSE)+N130</f>
        <v>-11085</v>
      </c>
      <c r="U130" s="220">
        <f>+VLOOKUP(A130,'Change in Proportion Layers'!$AL$8:$AQ$322,6,FALSE)+O130</f>
        <v>17646</v>
      </c>
      <c r="W130" s="220">
        <f>('OPEB Amounts_Report'!H130-'OPEB Amounts_Report'!M130)</f>
        <v>-406694</v>
      </c>
      <c r="X130" s="245">
        <f t="shared" si="11"/>
        <v>0</v>
      </c>
    </row>
    <row r="131" spans="1:24" s="8" customFormat="1">
      <c r="A131" s="209">
        <v>10119</v>
      </c>
      <c r="B131" s="210" t="s">
        <v>118</v>
      </c>
      <c r="C131" s="219">
        <f t="shared" si="12"/>
        <v>-87352</v>
      </c>
      <c r="D131" s="219">
        <f t="shared" si="13"/>
        <v>-93630</v>
      </c>
      <c r="E131" s="219">
        <f t="shared" si="14"/>
        <v>-68136</v>
      </c>
      <c r="F131" s="219">
        <f t="shared" si="15"/>
        <v>-16432</v>
      </c>
      <c r="G131" s="219">
        <f t="shared" si="16"/>
        <v>-7286</v>
      </c>
      <c r="I131" s="49"/>
      <c r="K131" s="220">
        <f>ROUND(VLOOKUP($A131,'Contribution Allocation_Report'!$A$9:$D$314,4,FALSE)*$K$326,0)</f>
        <v>-59696</v>
      </c>
      <c r="L131" s="220">
        <f>ROUND(VLOOKUP($A131,'Contribution Allocation_Report'!$A$9:$D$314,4,FALSE)*$L$326,0)</f>
        <v>-81873</v>
      </c>
      <c r="M131" s="220">
        <f>ROUND(VLOOKUP($A131,'Contribution Allocation_Report'!$A$9:$D$314,4,FALSE)*$M$326,0)</f>
        <v>-53531</v>
      </c>
      <c r="N131" s="220">
        <f>ROUND(VLOOKUP($A131,'Contribution Allocation_Report'!$A$9:$D$314,4,FALSE)*$N$326,0)</f>
        <v>-13693</v>
      </c>
      <c r="O131" s="220">
        <f>ROUND(VLOOKUP($A131,'Contribution Allocation_Report'!$A$9:$D$314,4,FALSE)*$O$326,0)</f>
        <v>5894</v>
      </c>
      <c r="Q131" s="220">
        <f>+VLOOKUP(A131,'Change in Proportion Layers'!$AL$8:$AQ$322,2,FALSE)+K131</f>
        <v>-87352</v>
      </c>
      <c r="R131" s="220">
        <f>+VLOOKUP(A131,'Change in Proportion Layers'!$AL$8:$AQ$322,3,FALSE)+L131</f>
        <v>-93630</v>
      </c>
      <c r="S131" s="220">
        <f>+VLOOKUP(A131,'Change in Proportion Layers'!$AL$8:$AQ$322,4,FALSE)+M131</f>
        <v>-68136</v>
      </c>
      <c r="T131" s="220">
        <f>+VLOOKUP(A131,'Change in Proportion Layers'!$AL$8:$AQ$322,5,FALSE)+N131</f>
        <v>-16432</v>
      </c>
      <c r="U131" s="220">
        <f>+VLOOKUP(A131,'Change in Proportion Layers'!$AL$8:$AQ$322,6,FALSE)+O131</f>
        <v>-7286</v>
      </c>
      <c r="W131" s="220">
        <f>('OPEB Amounts_Report'!H131-'OPEB Amounts_Report'!M131)</f>
        <v>-272836</v>
      </c>
      <c r="X131" s="245">
        <f t="shared" si="11"/>
        <v>0</v>
      </c>
    </row>
    <row r="132" spans="1:24" s="8" customFormat="1">
      <c r="A132" s="211">
        <v>573</v>
      </c>
      <c r="B132" s="212" t="s">
        <v>399</v>
      </c>
      <c r="C132" s="46">
        <f t="shared" si="12"/>
        <v>346278</v>
      </c>
      <c r="D132" s="46">
        <f t="shared" si="13"/>
        <v>99114</v>
      </c>
      <c r="E132" s="46">
        <f t="shared" si="14"/>
        <v>153491</v>
      </c>
      <c r="F132" s="46">
        <f t="shared" si="15"/>
        <v>223464</v>
      </c>
      <c r="G132" s="46">
        <f t="shared" si="16"/>
        <v>189986</v>
      </c>
      <c r="I132" s="49"/>
      <c r="K132" s="220">
        <f>ROUND(VLOOKUP($A132,'Contribution Allocation_Report'!$A$9:$D$314,4,FALSE)*$K$326,0)</f>
        <v>-305479</v>
      </c>
      <c r="L132" s="220">
        <f>ROUND(VLOOKUP($A132,'Contribution Allocation_Report'!$A$9:$D$314,4,FALSE)*$L$326,0)</f>
        <v>-418964</v>
      </c>
      <c r="M132" s="220">
        <f>ROUND(VLOOKUP($A132,'Contribution Allocation_Report'!$A$9:$D$314,4,FALSE)*$M$326,0)</f>
        <v>-273932</v>
      </c>
      <c r="N132" s="220">
        <f>ROUND(VLOOKUP($A132,'Contribution Allocation_Report'!$A$9:$D$314,4,FALSE)*$N$326,0)</f>
        <v>-70068</v>
      </c>
      <c r="O132" s="220">
        <f>ROUND(VLOOKUP($A132,'Contribution Allocation_Report'!$A$9:$D$314,4,FALSE)*$O$326,0)</f>
        <v>30162</v>
      </c>
      <c r="Q132" s="220">
        <f>+VLOOKUP(A132,'Change in Proportion Layers'!$AL$8:$AQ$322,2,FALSE)+K132</f>
        <v>346278</v>
      </c>
      <c r="R132" s="220">
        <f>+VLOOKUP(A132,'Change in Proportion Layers'!$AL$8:$AQ$322,3,FALSE)+L132</f>
        <v>99114</v>
      </c>
      <c r="S132" s="220">
        <f>+VLOOKUP(A132,'Change in Proportion Layers'!$AL$8:$AQ$322,4,FALSE)+M132</f>
        <v>153491</v>
      </c>
      <c r="T132" s="220">
        <f>+VLOOKUP(A132,'Change in Proportion Layers'!$AL$8:$AQ$322,5,FALSE)+N132</f>
        <v>223464</v>
      </c>
      <c r="U132" s="220">
        <f>+VLOOKUP(A132,'Change in Proportion Layers'!$AL$8:$AQ$322,6,FALSE)+O132-1</f>
        <v>189986</v>
      </c>
      <c r="W132" s="220">
        <f>('OPEB Amounts_Report'!H132-'OPEB Amounts_Report'!M132)</f>
        <v>1012333</v>
      </c>
      <c r="X132" s="245">
        <f t="shared" si="11"/>
        <v>0</v>
      </c>
    </row>
    <row r="133" spans="1:24" s="8" customFormat="1">
      <c r="A133" s="209">
        <v>2368</v>
      </c>
      <c r="B133" s="210" t="s">
        <v>119</v>
      </c>
      <c r="C133" s="219">
        <f t="shared" si="12"/>
        <v>-56151</v>
      </c>
      <c r="D133" s="219">
        <f t="shared" si="13"/>
        <v>-112187</v>
      </c>
      <c r="E133" s="219">
        <f t="shared" si="14"/>
        <v>-144362</v>
      </c>
      <c r="F133" s="219">
        <f t="shared" si="15"/>
        <v>-11883</v>
      </c>
      <c r="G133" s="219">
        <f t="shared" si="16"/>
        <v>328</v>
      </c>
      <c r="I133" s="49"/>
      <c r="K133" s="220">
        <f>ROUND(VLOOKUP($A133,'Contribution Allocation_Report'!$A$9:$D$314,4,FALSE)*$K$326,0)</f>
        <v>-125718</v>
      </c>
      <c r="L133" s="220">
        <f>ROUND(VLOOKUP($A133,'Contribution Allocation_Report'!$A$9:$D$314,4,FALSE)*$L$326,0)</f>
        <v>-172422</v>
      </c>
      <c r="M133" s="220">
        <f>ROUND(VLOOKUP($A133,'Contribution Allocation_Report'!$A$9:$D$314,4,FALSE)*$M$326,0)</f>
        <v>-112735</v>
      </c>
      <c r="N133" s="220">
        <f>ROUND(VLOOKUP($A133,'Contribution Allocation_Report'!$A$9:$D$314,4,FALSE)*$N$326,0)</f>
        <v>-28836</v>
      </c>
      <c r="O133" s="220">
        <f>ROUND(VLOOKUP($A133,'Contribution Allocation_Report'!$A$9:$D$314,4,FALSE)*$O$326,0)</f>
        <v>12413</v>
      </c>
      <c r="Q133" s="220">
        <f>+VLOOKUP(A133,'Change in Proportion Layers'!$AL$8:$AQ$322,2,FALSE)+K133</f>
        <v>-56151</v>
      </c>
      <c r="R133" s="220">
        <f>+VLOOKUP(A133,'Change in Proportion Layers'!$AL$8:$AQ$322,3,FALSE)+L133</f>
        <v>-112187</v>
      </c>
      <c r="S133" s="220">
        <f>+VLOOKUP(A133,'Change in Proportion Layers'!$AL$8:$AQ$322,4,FALSE)+M133</f>
        <v>-144362</v>
      </c>
      <c r="T133" s="220">
        <f>+VLOOKUP(A133,'Change in Proportion Layers'!$AL$8:$AQ$322,5,FALSE)+N133</f>
        <v>-11883</v>
      </c>
      <c r="U133" s="220">
        <f>+VLOOKUP(A133,'Change in Proportion Layers'!$AL$8:$AQ$322,6,FALSE)+O133</f>
        <v>328</v>
      </c>
      <c r="W133" s="220">
        <f>('OPEB Amounts_Report'!H133-'OPEB Amounts_Report'!M133)</f>
        <v>-324255</v>
      </c>
      <c r="X133" s="245">
        <f t="shared" si="11"/>
        <v>0</v>
      </c>
    </row>
    <row r="134" spans="1:24" s="8" customFormat="1">
      <c r="A134" s="211">
        <v>7420</v>
      </c>
      <c r="B134" s="212" t="s">
        <v>120</v>
      </c>
      <c r="C134" s="46">
        <f t="shared" si="12"/>
        <v>-41436</v>
      </c>
      <c r="D134" s="46">
        <f t="shared" si="13"/>
        <v>-66668</v>
      </c>
      <c r="E134" s="46">
        <f t="shared" si="14"/>
        <v>-46663</v>
      </c>
      <c r="F134" s="46">
        <f t="shared" si="15"/>
        <v>-9554</v>
      </c>
      <c r="G134" s="46">
        <f t="shared" si="16"/>
        <v>10572</v>
      </c>
      <c r="I134" s="49"/>
      <c r="K134" s="220">
        <f>ROUND(VLOOKUP($A134,'Contribution Allocation_Report'!$A$9:$D$314,4,FALSE)*$K$326,0)</f>
        <v>-75521</v>
      </c>
      <c r="L134" s="220">
        <f>ROUND(VLOOKUP($A134,'Contribution Allocation_Report'!$A$9:$D$314,4,FALSE)*$L$326,0)</f>
        <v>-103576</v>
      </c>
      <c r="M134" s="220">
        <f>ROUND(VLOOKUP($A134,'Contribution Allocation_Report'!$A$9:$D$314,4,FALSE)*$M$326,0)</f>
        <v>-67722</v>
      </c>
      <c r="N134" s="220">
        <f>ROUND(VLOOKUP($A134,'Contribution Allocation_Report'!$A$9:$D$314,4,FALSE)*$N$326,0)</f>
        <v>-17322</v>
      </c>
      <c r="O134" s="220">
        <f>ROUND(VLOOKUP($A134,'Contribution Allocation_Report'!$A$9:$D$314,4,FALSE)*$O$326,0)</f>
        <v>7457</v>
      </c>
      <c r="Q134" s="220">
        <f>+VLOOKUP(A134,'Change in Proportion Layers'!$AL$8:$AQ$322,2,FALSE)+K134</f>
        <v>-41436</v>
      </c>
      <c r="R134" s="220">
        <f>+VLOOKUP(A134,'Change in Proportion Layers'!$AL$8:$AQ$322,3,FALSE)+L134</f>
        <v>-66668</v>
      </c>
      <c r="S134" s="220">
        <f>+VLOOKUP(A134,'Change in Proportion Layers'!$AL$8:$AQ$322,4,FALSE)+M134</f>
        <v>-46663</v>
      </c>
      <c r="T134" s="220">
        <f>+VLOOKUP(A134,'Change in Proportion Layers'!$AL$8:$AQ$322,5,FALSE)+N134</f>
        <v>-9554</v>
      </c>
      <c r="U134" s="220">
        <f>+VLOOKUP(A134,'Change in Proportion Layers'!$AL$8:$AQ$322,6,FALSE)+O134+1</f>
        <v>10572</v>
      </c>
      <c r="W134" s="220">
        <f>('OPEB Amounts_Report'!H134-'OPEB Amounts_Report'!M134)</f>
        <v>-153749</v>
      </c>
      <c r="X134" s="245">
        <f t="shared" si="11"/>
        <v>0</v>
      </c>
    </row>
    <row r="135" spans="1:24" s="8" customFormat="1">
      <c r="A135" s="209">
        <v>6018</v>
      </c>
      <c r="B135" s="210" t="s">
        <v>121</v>
      </c>
      <c r="C135" s="219">
        <f t="shared" si="12"/>
        <v>-102862</v>
      </c>
      <c r="D135" s="219">
        <f t="shared" si="13"/>
        <v>-206900</v>
      </c>
      <c r="E135" s="219">
        <f t="shared" si="14"/>
        <v>-110336</v>
      </c>
      <c r="F135" s="219">
        <f t="shared" si="15"/>
        <v>52286</v>
      </c>
      <c r="G135" s="219">
        <f t="shared" si="16"/>
        <v>57030</v>
      </c>
      <c r="I135" s="49"/>
      <c r="K135" s="220">
        <f>ROUND(VLOOKUP($A135,'Contribution Allocation_Report'!$A$9:$D$314,4,FALSE)*$K$326,0)</f>
        <v>-256440</v>
      </c>
      <c r="L135" s="220">
        <f>ROUND(VLOOKUP($A135,'Contribution Allocation_Report'!$A$9:$D$314,4,FALSE)*$L$326,0)</f>
        <v>-351706</v>
      </c>
      <c r="M135" s="220">
        <f>ROUND(VLOOKUP($A135,'Contribution Allocation_Report'!$A$9:$D$314,4,FALSE)*$M$326,0)</f>
        <v>-229957</v>
      </c>
      <c r="N135" s="220">
        <f>ROUND(VLOOKUP($A135,'Contribution Allocation_Report'!$A$9:$D$314,4,FALSE)*$N$326,0)</f>
        <v>-58820</v>
      </c>
      <c r="O135" s="220">
        <f>ROUND(VLOOKUP($A135,'Contribution Allocation_Report'!$A$9:$D$314,4,FALSE)*$O$326,0)</f>
        <v>25320</v>
      </c>
      <c r="Q135" s="220">
        <f>+VLOOKUP(A135,'Change in Proportion Layers'!$AL$8:$AQ$322,2,FALSE)+K135</f>
        <v>-102862</v>
      </c>
      <c r="R135" s="220">
        <f>+VLOOKUP(A135,'Change in Proportion Layers'!$AL$8:$AQ$322,3,FALSE)+L135</f>
        <v>-206900</v>
      </c>
      <c r="S135" s="220">
        <f>+VLOOKUP(A135,'Change in Proportion Layers'!$AL$8:$AQ$322,4,FALSE)+M135</f>
        <v>-110336</v>
      </c>
      <c r="T135" s="220">
        <f>+VLOOKUP(A135,'Change in Proportion Layers'!$AL$8:$AQ$322,5,FALSE)+N135</f>
        <v>52286</v>
      </c>
      <c r="U135" s="220">
        <f>+VLOOKUP(A135,'Change in Proportion Layers'!$AL$8:$AQ$322,6,FALSE)+O135+1</f>
        <v>57030</v>
      </c>
      <c r="W135" s="220">
        <f>('OPEB Amounts_Report'!H135-'OPEB Amounts_Report'!M135)</f>
        <v>-310782</v>
      </c>
      <c r="X135" s="245">
        <f t="shared" si="11"/>
        <v>0</v>
      </c>
    </row>
    <row r="136" spans="1:24" s="8" customFormat="1">
      <c r="A136" s="211">
        <v>3321</v>
      </c>
      <c r="B136" s="212" t="s">
        <v>122</v>
      </c>
      <c r="C136" s="46">
        <f t="shared" si="12"/>
        <v>-60648</v>
      </c>
      <c r="D136" s="46">
        <f t="shared" si="13"/>
        <v>-101430</v>
      </c>
      <c r="E136" s="46">
        <f t="shared" si="14"/>
        <v>-79676</v>
      </c>
      <c r="F136" s="46">
        <f t="shared" si="15"/>
        <v>-67077</v>
      </c>
      <c r="G136" s="46">
        <f t="shared" si="16"/>
        <v>-25834</v>
      </c>
      <c r="I136" s="49"/>
      <c r="K136" s="220">
        <f>ROUND(VLOOKUP($A136,'Contribution Allocation_Report'!$A$9:$D$314,4,FALSE)*$K$326,0)</f>
        <v>-76404</v>
      </c>
      <c r="L136" s="220">
        <f>ROUND(VLOOKUP($A136,'Contribution Allocation_Report'!$A$9:$D$314,4,FALSE)*$L$326,0)</f>
        <v>-104788</v>
      </c>
      <c r="M136" s="220">
        <f>ROUND(VLOOKUP($A136,'Contribution Allocation_Report'!$A$9:$D$314,4,FALSE)*$M$326,0)</f>
        <v>-68514</v>
      </c>
      <c r="N136" s="220">
        <f>ROUND(VLOOKUP($A136,'Contribution Allocation_Report'!$A$9:$D$314,4,FALSE)*$N$326,0)</f>
        <v>-17525</v>
      </c>
      <c r="O136" s="220">
        <f>ROUND(VLOOKUP($A136,'Contribution Allocation_Report'!$A$9:$D$314,4,FALSE)*$O$326,0)</f>
        <v>7544</v>
      </c>
      <c r="Q136" s="220">
        <f>+VLOOKUP(A136,'Change in Proportion Layers'!$AL$8:$AQ$322,2,FALSE)+K136</f>
        <v>-60648</v>
      </c>
      <c r="R136" s="220">
        <f>+VLOOKUP(A136,'Change in Proportion Layers'!$AL$8:$AQ$322,3,FALSE)+L136</f>
        <v>-101430</v>
      </c>
      <c r="S136" s="220">
        <f>+VLOOKUP(A136,'Change in Proportion Layers'!$AL$8:$AQ$322,4,FALSE)+M136</f>
        <v>-79676</v>
      </c>
      <c r="T136" s="220">
        <f>+VLOOKUP(A136,'Change in Proportion Layers'!$AL$8:$AQ$322,5,FALSE)+N136</f>
        <v>-67077</v>
      </c>
      <c r="U136" s="220">
        <f>+VLOOKUP(A136,'Change in Proportion Layers'!$AL$8:$AQ$322,6,FALSE)+O136-1</f>
        <v>-25834</v>
      </c>
      <c r="W136" s="220">
        <f>('OPEB Amounts_Report'!H136-'OPEB Amounts_Report'!M136)</f>
        <v>-334665</v>
      </c>
      <c r="X136" s="245">
        <f t="shared" si="11"/>
        <v>0</v>
      </c>
    </row>
    <row r="137" spans="1:24" s="8" customFormat="1">
      <c r="A137" s="209">
        <v>29122</v>
      </c>
      <c r="B137" s="210" t="s">
        <v>123</v>
      </c>
      <c r="C137" s="219">
        <f t="shared" si="12"/>
        <v>-117262</v>
      </c>
      <c r="D137" s="219">
        <f t="shared" si="13"/>
        <v>-201176</v>
      </c>
      <c r="E137" s="219">
        <f t="shared" si="14"/>
        <v>-108543</v>
      </c>
      <c r="F137" s="219">
        <f t="shared" si="15"/>
        <v>-41369</v>
      </c>
      <c r="G137" s="219">
        <f t="shared" si="16"/>
        <v>-53174</v>
      </c>
      <c r="I137" s="49"/>
      <c r="K137" s="220">
        <f>ROUND(VLOOKUP($A137,'Contribution Allocation_Report'!$A$9:$D$314,4,FALSE)*$K$326,0)</f>
        <v>-98768</v>
      </c>
      <c r="L137" s="220">
        <f>ROUND(VLOOKUP($A137,'Contribution Allocation_Report'!$A$9:$D$314,4,FALSE)*$L$326,0)</f>
        <v>-135459</v>
      </c>
      <c r="M137" s="220">
        <f>ROUND(VLOOKUP($A137,'Contribution Allocation_Report'!$A$9:$D$314,4,FALSE)*$M$326,0)</f>
        <v>-88568</v>
      </c>
      <c r="N137" s="220">
        <f>ROUND(VLOOKUP($A137,'Contribution Allocation_Report'!$A$9:$D$314,4,FALSE)*$N$326,0)</f>
        <v>-22654</v>
      </c>
      <c r="O137" s="220">
        <f>ROUND(VLOOKUP($A137,'Contribution Allocation_Report'!$A$9:$D$314,4,FALSE)*$O$326,0)</f>
        <v>9752</v>
      </c>
      <c r="Q137" s="220">
        <f>+VLOOKUP(A137,'Change in Proportion Layers'!$AL$8:$AQ$322,2,FALSE)+K137</f>
        <v>-117262</v>
      </c>
      <c r="R137" s="220">
        <f>+VLOOKUP(A137,'Change in Proportion Layers'!$AL$8:$AQ$322,3,FALSE)+L137</f>
        <v>-201176</v>
      </c>
      <c r="S137" s="220">
        <f>+VLOOKUP(A137,'Change in Proportion Layers'!$AL$8:$AQ$322,4,FALSE)+M137</f>
        <v>-108543</v>
      </c>
      <c r="T137" s="220">
        <f>+VLOOKUP(A137,'Change in Proportion Layers'!$AL$8:$AQ$322,5,FALSE)+N137</f>
        <v>-41369</v>
      </c>
      <c r="U137" s="220">
        <f>+VLOOKUP(A137,'Change in Proportion Layers'!$AL$8:$AQ$322,6,FALSE)+O137+1</f>
        <v>-53174</v>
      </c>
      <c r="W137" s="220">
        <f>('OPEB Amounts_Report'!H137-'OPEB Amounts_Report'!M137)</f>
        <v>-521524</v>
      </c>
      <c r="X137" s="245">
        <f t="shared" si="11"/>
        <v>0</v>
      </c>
    </row>
    <row r="138" spans="1:24" s="8" customFormat="1">
      <c r="A138" s="211">
        <v>29088</v>
      </c>
      <c r="B138" s="212" t="s">
        <v>124</v>
      </c>
      <c r="C138" s="46">
        <f t="shared" si="12"/>
        <v>-198339</v>
      </c>
      <c r="D138" s="46">
        <f t="shared" si="13"/>
        <v>-203732</v>
      </c>
      <c r="E138" s="46">
        <f t="shared" si="14"/>
        <v>-132816</v>
      </c>
      <c r="F138" s="46">
        <f t="shared" si="15"/>
        <v>-43806</v>
      </c>
      <c r="G138" s="46">
        <f t="shared" si="16"/>
        <v>-16497</v>
      </c>
      <c r="I138" s="49"/>
      <c r="K138" s="220">
        <f>ROUND(VLOOKUP($A138,'Contribution Allocation_Report'!$A$9:$D$314,4,FALSE)*$K$326,0)</f>
        <v>-147579</v>
      </c>
      <c r="L138" s="220">
        <f>ROUND(VLOOKUP($A138,'Contribution Allocation_Report'!$A$9:$D$314,4,FALSE)*$L$326,0)</f>
        <v>-202404</v>
      </c>
      <c r="M138" s="220">
        <f>ROUND(VLOOKUP($A138,'Contribution Allocation_Report'!$A$9:$D$314,4,FALSE)*$M$326,0)</f>
        <v>-132338</v>
      </c>
      <c r="N138" s="220">
        <f>ROUND(VLOOKUP($A138,'Contribution Allocation_Report'!$A$9:$D$314,4,FALSE)*$N$326,0)</f>
        <v>-33850</v>
      </c>
      <c r="O138" s="220">
        <f>ROUND(VLOOKUP($A138,'Contribution Allocation_Report'!$A$9:$D$314,4,FALSE)*$O$326,0)</f>
        <v>14572</v>
      </c>
      <c r="Q138" s="220">
        <f>+VLOOKUP(A138,'Change in Proportion Layers'!$AL$8:$AQ$322,2,FALSE)+K138</f>
        <v>-198339</v>
      </c>
      <c r="R138" s="220">
        <f>+VLOOKUP(A138,'Change in Proportion Layers'!$AL$8:$AQ$322,3,FALSE)+L138</f>
        <v>-203732</v>
      </c>
      <c r="S138" s="220">
        <f>+VLOOKUP(A138,'Change in Proportion Layers'!$AL$8:$AQ$322,4,FALSE)+M138</f>
        <v>-132816</v>
      </c>
      <c r="T138" s="220">
        <f>+VLOOKUP(A138,'Change in Proportion Layers'!$AL$8:$AQ$322,5,FALSE)+N138</f>
        <v>-43806</v>
      </c>
      <c r="U138" s="220">
        <f>+VLOOKUP(A138,'Change in Proportion Layers'!$AL$8:$AQ$322,6,FALSE)+O138-3</f>
        <v>-16497</v>
      </c>
      <c r="W138" s="220">
        <f>('OPEB Amounts_Report'!H138-'OPEB Amounts_Report'!M138)</f>
        <v>-595190</v>
      </c>
      <c r="X138" s="245">
        <f t="shared" si="11"/>
        <v>0</v>
      </c>
    </row>
    <row r="139" spans="1:24" s="8" customFormat="1">
      <c r="A139" s="209">
        <v>7337</v>
      </c>
      <c r="B139" s="210" t="s">
        <v>125</v>
      </c>
      <c r="C139" s="219">
        <f t="shared" si="12"/>
        <v>-84503</v>
      </c>
      <c r="D139" s="219">
        <f t="shared" si="13"/>
        <v>-73545</v>
      </c>
      <c r="E139" s="219">
        <f t="shared" si="14"/>
        <v>-41949</v>
      </c>
      <c r="F139" s="219">
        <f t="shared" si="15"/>
        <v>-30813</v>
      </c>
      <c r="G139" s="219">
        <f t="shared" si="16"/>
        <v>-27556</v>
      </c>
      <c r="I139" s="49"/>
      <c r="K139" s="220">
        <f>ROUND(VLOOKUP($A139,'Contribution Allocation_Report'!$A$9:$D$314,4,FALSE)*$K$326,0)</f>
        <v>-29277</v>
      </c>
      <c r="L139" s="220">
        <f>ROUND(VLOOKUP($A139,'Contribution Allocation_Report'!$A$9:$D$314,4,FALSE)*$L$326,0)</f>
        <v>-40153</v>
      </c>
      <c r="M139" s="220">
        <f>ROUND(VLOOKUP($A139,'Contribution Allocation_Report'!$A$9:$D$314,4,FALSE)*$M$326,0)</f>
        <v>-26253</v>
      </c>
      <c r="N139" s="220">
        <f>ROUND(VLOOKUP($A139,'Contribution Allocation_Report'!$A$9:$D$314,4,FALSE)*$N$326,0)</f>
        <v>-6715</v>
      </c>
      <c r="O139" s="220">
        <f>ROUND(VLOOKUP($A139,'Contribution Allocation_Report'!$A$9:$D$314,4,FALSE)*$O$326,0)</f>
        <v>2891</v>
      </c>
      <c r="Q139" s="220">
        <f>+VLOOKUP(A139,'Change in Proportion Layers'!$AL$8:$AQ$322,2,FALSE)+K139</f>
        <v>-84503</v>
      </c>
      <c r="R139" s="220">
        <f>+VLOOKUP(A139,'Change in Proportion Layers'!$AL$8:$AQ$322,3,FALSE)+L139</f>
        <v>-73545</v>
      </c>
      <c r="S139" s="220">
        <f>+VLOOKUP(A139,'Change in Proportion Layers'!$AL$8:$AQ$322,4,FALSE)+M139</f>
        <v>-41949</v>
      </c>
      <c r="T139" s="220">
        <f>+VLOOKUP(A139,'Change in Proportion Layers'!$AL$8:$AQ$322,5,FALSE)+N139</f>
        <v>-30813</v>
      </c>
      <c r="U139" s="220">
        <f>+VLOOKUP(A139,'Change in Proportion Layers'!$AL$8:$AQ$322,6,FALSE)+O139-1</f>
        <v>-27556</v>
      </c>
      <c r="W139" s="220">
        <f>('OPEB Amounts_Report'!H139-'OPEB Amounts_Report'!M139)</f>
        <v>-258366</v>
      </c>
      <c r="X139" s="245">
        <f t="shared" si="11"/>
        <v>0</v>
      </c>
    </row>
    <row r="140" spans="1:24" s="8" customFormat="1">
      <c r="A140" s="211">
        <v>2329</v>
      </c>
      <c r="B140" s="212" t="s">
        <v>126</v>
      </c>
      <c r="C140" s="46">
        <f t="shared" si="12"/>
        <v>-264609</v>
      </c>
      <c r="D140" s="46">
        <f t="shared" si="13"/>
        <v>-174077</v>
      </c>
      <c r="E140" s="46">
        <f t="shared" si="14"/>
        <v>-140417</v>
      </c>
      <c r="F140" s="46">
        <f t="shared" si="15"/>
        <v>-83762</v>
      </c>
      <c r="G140" s="46">
        <f t="shared" si="16"/>
        <v>-5799</v>
      </c>
      <c r="I140" s="49"/>
      <c r="K140" s="220">
        <f>ROUND(VLOOKUP($A140,'Contribution Allocation_Report'!$A$9:$D$314,4,FALSE)*$K$326,0)</f>
        <v>-99967</v>
      </c>
      <c r="L140" s="220">
        <f>ROUND(VLOOKUP($A140,'Contribution Allocation_Report'!$A$9:$D$314,4,FALSE)*$L$326,0)</f>
        <v>-137104</v>
      </c>
      <c r="M140" s="220">
        <f>ROUND(VLOOKUP($A140,'Contribution Allocation_Report'!$A$9:$D$314,4,FALSE)*$M$326,0)</f>
        <v>-89643</v>
      </c>
      <c r="N140" s="220">
        <f>ROUND(VLOOKUP($A140,'Contribution Allocation_Report'!$A$9:$D$314,4,FALSE)*$N$326,0)</f>
        <v>-22929</v>
      </c>
      <c r="O140" s="220">
        <f>ROUND(VLOOKUP($A140,'Contribution Allocation_Report'!$A$9:$D$314,4,FALSE)*$O$326,0)</f>
        <v>9870</v>
      </c>
      <c r="Q140" s="220">
        <f>+VLOOKUP(A140,'Change in Proportion Layers'!$AL$8:$AQ$322,2,FALSE)+K140</f>
        <v>-264609</v>
      </c>
      <c r="R140" s="220">
        <f>+VLOOKUP(A140,'Change in Proportion Layers'!$AL$8:$AQ$322,3,FALSE)+L140</f>
        <v>-174077</v>
      </c>
      <c r="S140" s="220">
        <f>+VLOOKUP(A140,'Change in Proportion Layers'!$AL$8:$AQ$322,4,FALSE)+M140</f>
        <v>-140417</v>
      </c>
      <c r="T140" s="220">
        <f>+VLOOKUP(A140,'Change in Proportion Layers'!$AL$8:$AQ$322,5,FALSE)+N140</f>
        <v>-83762</v>
      </c>
      <c r="U140" s="220">
        <f>+VLOOKUP(A140,'Change in Proportion Layers'!$AL$8:$AQ$322,6,FALSE)+O140-1</f>
        <v>-5799</v>
      </c>
      <c r="W140" s="220">
        <f>('OPEB Amounts_Report'!H140-'OPEB Amounts_Report'!M140)</f>
        <v>-668664</v>
      </c>
      <c r="X140" s="245">
        <f t="shared" ref="X140:X195" si="23">SUM(Q140:U140)-W140</f>
        <v>0</v>
      </c>
    </row>
    <row r="141" spans="1:24" s="8" customFormat="1">
      <c r="A141" s="209">
        <v>4010</v>
      </c>
      <c r="B141" s="210" t="s">
        <v>129</v>
      </c>
      <c r="C141" s="219">
        <f t="shared" ref="C141:C203" si="24">+Q141</f>
        <v>-36890</v>
      </c>
      <c r="D141" s="219">
        <f t="shared" ref="D141:D203" si="25">+R141</f>
        <v>-77896</v>
      </c>
      <c r="E141" s="219">
        <f t="shared" ref="E141:E203" si="26">+S141</f>
        <v>-45722</v>
      </c>
      <c r="F141" s="219">
        <f t="shared" ref="F141:F203" si="27">+T141</f>
        <v>-7822</v>
      </c>
      <c r="G141" s="219">
        <f t="shared" ref="G141:G203" si="28">+U141</f>
        <v>16546</v>
      </c>
      <c r="I141" s="49"/>
      <c r="K141" s="220">
        <f>ROUND(VLOOKUP($A141,'Contribution Allocation_Report'!$A$9:$D$314,4,FALSE)*$K$326,0)</f>
        <v>-82919</v>
      </c>
      <c r="L141" s="220">
        <f>ROUND(VLOOKUP($A141,'Contribution Allocation_Report'!$A$9:$D$314,4,FALSE)*$L$326,0)</f>
        <v>-113723</v>
      </c>
      <c r="M141" s="220">
        <f>ROUND(VLOOKUP($A141,'Contribution Allocation_Report'!$A$9:$D$314,4,FALSE)*$M$326,0)</f>
        <v>-74356</v>
      </c>
      <c r="N141" s="220">
        <f>ROUND(VLOOKUP($A141,'Contribution Allocation_Report'!$A$9:$D$314,4,FALSE)*$N$326,0)</f>
        <v>-19019</v>
      </c>
      <c r="O141" s="220">
        <f>ROUND(VLOOKUP($A141,'Contribution Allocation_Report'!$A$9:$D$314,4,FALSE)*$O$326,0)</f>
        <v>8187</v>
      </c>
      <c r="Q141" s="220">
        <f>+VLOOKUP(A141,'Change in Proportion Layers'!$AL$8:$AQ$322,2,FALSE)+K141</f>
        <v>-36890</v>
      </c>
      <c r="R141" s="220">
        <f>+VLOOKUP(A141,'Change in Proportion Layers'!$AL$8:$AQ$322,3,FALSE)+L141</f>
        <v>-77896</v>
      </c>
      <c r="S141" s="220">
        <f>+VLOOKUP(A141,'Change in Proportion Layers'!$AL$8:$AQ$322,4,FALSE)+M141</f>
        <v>-45722</v>
      </c>
      <c r="T141" s="220">
        <f>+VLOOKUP(A141,'Change in Proportion Layers'!$AL$8:$AQ$322,5,FALSE)+N141</f>
        <v>-7822</v>
      </c>
      <c r="U141" s="220">
        <f>+VLOOKUP(A141,'Change in Proportion Layers'!$AL$8:$AQ$322,6,FALSE)+O141</f>
        <v>16546</v>
      </c>
      <c r="W141" s="220">
        <f>('OPEB Amounts_Report'!H141-'OPEB Amounts_Report'!M141)</f>
        <v>-151784</v>
      </c>
      <c r="X141" s="245">
        <f t="shared" si="23"/>
        <v>0</v>
      </c>
    </row>
    <row r="142" spans="1:24" s="8" customFormat="1">
      <c r="A142" s="211">
        <v>7023</v>
      </c>
      <c r="B142" s="212" t="s">
        <v>130</v>
      </c>
      <c r="C142" s="46">
        <f t="shared" si="24"/>
        <v>-7551365</v>
      </c>
      <c r="D142" s="46">
        <f t="shared" si="25"/>
        <v>-11151954</v>
      </c>
      <c r="E142" s="46">
        <f t="shared" si="26"/>
        <v>-7256140</v>
      </c>
      <c r="F142" s="46">
        <f t="shared" si="27"/>
        <v>-1810875</v>
      </c>
      <c r="G142" s="46">
        <f t="shared" si="28"/>
        <v>362657</v>
      </c>
      <c r="I142" s="49"/>
      <c r="K142" s="220">
        <f>ROUND(VLOOKUP($A142,'Contribution Allocation_Report'!$A$9:$D$314,4,FALSE)*$K$326,0)</f>
        <v>-9223027</v>
      </c>
      <c r="L142" s="220">
        <f>ROUND(VLOOKUP($A142,'Contribution Allocation_Report'!$A$9:$D$314,4,FALSE)*$L$326,0)</f>
        <v>-12649351</v>
      </c>
      <c r="M142" s="220">
        <f>ROUND(VLOOKUP($A142,'Contribution Allocation_Report'!$A$9:$D$314,4,FALSE)*$M$326,0)</f>
        <v>-8270549</v>
      </c>
      <c r="N142" s="220">
        <f>ROUND(VLOOKUP($A142,'Contribution Allocation_Report'!$A$9:$D$314,4,FALSE)*$N$326,0)</f>
        <v>-2115490</v>
      </c>
      <c r="O142" s="220">
        <f>ROUND(VLOOKUP($A142,'Contribution Allocation_Report'!$A$9:$D$314,4,FALSE)*$O$326,0)</f>
        <v>910654</v>
      </c>
      <c r="Q142" s="220">
        <f>+VLOOKUP(A142,'Change in Proportion Layers'!$AL$8:$AQ$322,2,FALSE)+K142</f>
        <v>-7551365</v>
      </c>
      <c r="R142" s="220">
        <f>+VLOOKUP(A142,'Change in Proportion Layers'!$AL$8:$AQ$322,3,FALSE)+L142</f>
        <v>-11151954</v>
      </c>
      <c r="S142" s="220">
        <f>+VLOOKUP(A142,'Change in Proportion Layers'!$AL$8:$AQ$322,4,FALSE)+M142</f>
        <v>-7256140</v>
      </c>
      <c r="T142" s="220">
        <f>+VLOOKUP(A142,'Change in Proportion Layers'!$AL$8:$AQ$322,5,FALSE)+N142</f>
        <v>-1810875</v>
      </c>
      <c r="U142" s="220">
        <f>+VLOOKUP(A142,'Change in Proportion Layers'!$AL$8:$AQ$322,6,FALSE)+O142+1</f>
        <v>362657</v>
      </c>
      <c r="W142" s="220">
        <f>('OPEB Amounts_Report'!H142-'OPEB Amounts_Report'!M142)</f>
        <v>-27407677</v>
      </c>
      <c r="X142" s="245">
        <f t="shared" si="23"/>
        <v>0</v>
      </c>
    </row>
    <row r="143" spans="1:24" s="8" customFormat="1">
      <c r="A143" s="209">
        <v>7338</v>
      </c>
      <c r="B143" s="210" t="s">
        <v>131</v>
      </c>
      <c r="C143" s="219">
        <f t="shared" si="24"/>
        <v>-90114</v>
      </c>
      <c r="D143" s="219">
        <f t="shared" si="25"/>
        <v>-115663</v>
      </c>
      <c r="E143" s="219">
        <f t="shared" si="26"/>
        <v>-92406</v>
      </c>
      <c r="F143" s="219">
        <f t="shared" si="27"/>
        <v>-40662</v>
      </c>
      <c r="G143" s="219">
        <f t="shared" si="28"/>
        <v>9795</v>
      </c>
      <c r="I143" s="49"/>
      <c r="K143" s="220">
        <f>ROUND(VLOOKUP($A143,'Contribution Allocation_Report'!$A$9:$D$314,4,FALSE)*$K$326,0)</f>
        <v>-67583</v>
      </c>
      <c r="L143" s="220">
        <f>ROUND(VLOOKUP($A143,'Contribution Allocation_Report'!$A$9:$D$314,4,FALSE)*$L$326,0)</f>
        <v>-92690</v>
      </c>
      <c r="M143" s="220">
        <f>ROUND(VLOOKUP($A143,'Contribution Allocation_Report'!$A$9:$D$314,4,FALSE)*$M$326,0)</f>
        <v>-60604</v>
      </c>
      <c r="N143" s="220">
        <f>ROUND(VLOOKUP($A143,'Contribution Allocation_Report'!$A$9:$D$314,4,FALSE)*$N$326,0)</f>
        <v>-15502</v>
      </c>
      <c r="O143" s="220">
        <f>ROUND(VLOOKUP($A143,'Contribution Allocation_Report'!$A$9:$D$314,4,FALSE)*$O$326,0)</f>
        <v>6673</v>
      </c>
      <c r="Q143" s="220">
        <f>+VLOOKUP(A143,'Change in Proportion Layers'!$AL$8:$AQ$322,2,FALSE)+K143</f>
        <v>-90114</v>
      </c>
      <c r="R143" s="220">
        <f>+VLOOKUP(A143,'Change in Proportion Layers'!$AL$8:$AQ$322,3,FALSE)+L143</f>
        <v>-115663</v>
      </c>
      <c r="S143" s="220">
        <f>+VLOOKUP(A143,'Change in Proportion Layers'!$AL$8:$AQ$322,4,FALSE)+M143</f>
        <v>-92406</v>
      </c>
      <c r="T143" s="220">
        <f>+VLOOKUP(A143,'Change in Proportion Layers'!$AL$8:$AQ$322,5,FALSE)+N143</f>
        <v>-40662</v>
      </c>
      <c r="U143" s="220">
        <f>+VLOOKUP(A143,'Change in Proportion Layers'!$AL$8:$AQ$322,6,FALSE)+O143</f>
        <v>9795</v>
      </c>
      <c r="W143" s="220">
        <f>('OPEB Amounts_Report'!H143-'OPEB Amounts_Report'!M143)</f>
        <v>-329050</v>
      </c>
      <c r="X143" s="245">
        <f t="shared" si="23"/>
        <v>0</v>
      </c>
    </row>
    <row r="144" spans="1:24" s="8" customFormat="1">
      <c r="A144" s="211">
        <v>12037</v>
      </c>
      <c r="B144" s="212" t="s">
        <v>132</v>
      </c>
      <c r="C144" s="46">
        <f t="shared" si="24"/>
        <v>-597405</v>
      </c>
      <c r="D144" s="46">
        <f t="shared" si="25"/>
        <v>-816083</v>
      </c>
      <c r="E144" s="46">
        <f t="shared" si="26"/>
        <v>-542466</v>
      </c>
      <c r="F144" s="46">
        <f t="shared" si="27"/>
        <v>-145551</v>
      </c>
      <c r="G144" s="46">
        <f t="shared" si="28"/>
        <v>47043</v>
      </c>
      <c r="I144" s="49"/>
      <c r="K144" s="220">
        <f>ROUND(VLOOKUP($A144,'Contribution Allocation_Report'!$A$9:$D$314,4,FALSE)*$K$326,0)</f>
        <v>-537970</v>
      </c>
      <c r="L144" s="220">
        <f>ROUND(VLOOKUP($A144,'Contribution Allocation_Report'!$A$9:$D$314,4,FALSE)*$L$326,0)</f>
        <v>-737825</v>
      </c>
      <c r="M144" s="220">
        <f>ROUND(VLOOKUP($A144,'Contribution Allocation_Report'!$A$9:$D$314,4,FALSE)*$M$326,0)</f>
        <v>-482413</v>
      </c>
      <c r="N144" s="220">
        <f>ROUND(VLOOKUP($A144,'Contribution Allocation_Report'!$A$9:$D$314,4,FALSE)*$N$326,0)</f>
        <v>-123395</v>
      </c>
      <c r="O144" s="220">
        <f>ROUND(VLOOKUP($A144,'Contribution Allocation_Report'!$A$9:$D$314,4,FALSE)*$O$326,0)</f>
        <v>53118</v>
      </c>
      <c r="Q144" s="220">
        <f>+VLOOKUP(A144,'Change in Proportion Layers'!$AL$8:$AQ$322,2,FALSE)+K144</f>
        <v>-597405</v>
      </c>
      <c r="R144" s="220">
        <f>+VLOOKUP(A144,'Change in Proportion Layers'!$AL$8:$AQ$322,3,FALSE)+L144</f>
        <v>-816083</v>
      </c>
      <c r="S144" s="220">
        <f>+VLOOKUP(A144,'Change in Proportion Layers'!$AL$8:$AQ$322,4,FALSE)+M144</f>
        <v>-542466</v>
      </c>
      <c r="T144" s="220">
        <f>+VLOOKUP(A144,'Change in Proportion Layers'!$AL$8:$AQ$322,5,FALSE)+N144</f>
        <v>-145551</v>
      </c>
      <c r="U144" s="220">
        <f>+VLOOKUP(A144,'Change in Proportion Layers'!$AL$8:$AQ$322,6,FALSE)+O144</f>
        <v>47043</v>
      </c>
      <c r="W144" s="220">
        <f>('OPEB Amounts_Report'!H144-'OPEB Amounts_Report'!M144)</f>
        <v>-2054462</v>
      </c>
      <c r="X144" s="245">
        <f t="shared" si="23"/>
        <v>0</v>
      </c>
    </row>
    <row r="145" spans="1:24" s="8" customFormat="1">
      <c r="A145" s="209">
        <v>3150</v>
      </c>
      <c r="B145" s="210" t="s">
        <v>133</v>
      </c>
      <c r="C145" s="219">
        <f t="shared" si="24"/>
        <v>-1081304</v>
      </c>
      <c r="D145" s="219">
        <f t="shared" si="25"/>
        <v>-1329827</v>
      </c>
      <c r="E145" s="219">
        <f t="shared" si="26"/>
        <v>-731450</v>
      </c>
      <c r="F145" s="219">
        <f t="shared" si="27"/>
        <v>-219836</v>
      </c>
      <c r="G145" s="219">
        <f t="shared" si="28"/>
        <v>323197</v>
      </c>
      <c r="I145" s="49"/>
      <c r="K145" s="220">
        <f>ROUND(VLOOKUP($A145,'Contribution Allocation_Report'!$A$9:$D$314,4,FALSE)*$K$326,0)</f>
        <v>-1209103</v>
      </c>
      <c r="L145" s="220">
        <f>ROUND(VLOOKUP($A145,'Contribution Allocation_Report'!$A$9:$D$314,4,FALSE)*$L$326,0)</f>
        <v>-1658281</v>
      </c>
      <c r="M145" s="220">
        <f>ROUND(VLOOKUP($A145,'Contribution Allocation_Report'!$A$9:$D$314,4,FALSE)*$M$326,0)</f>
        <v>-1084237</v>
      </c>
      <c r="N145" s="220">
        <f>ROUND(VLOOKUP($A145,'Contribution Allocation_Report'!$A$9:$D$314,4,FALSE)*$N$326,0)</f>
        <v>-277332</v>
      </c>
      <c r="O145" s="220">
        <f>ROUND(VLOOKUP($A145,'Contribution Allocation_Report'!$A$9:$D$314,4,FALSE)*$O$326,0)</f>
        <v>119383</v>
      </c>
      <c r="Q145" s="220">
        <f>+VLOOKUP(A145,'Change in Proportion Layers'!$AL$8:$AQ$322,2,FALSE)+K145</f>
        <v>-1081304</v>
      </c>
      <c r="R145" s="220">
        <f>+VLOOKUP(A145,'Change in Proportion Layers'!$AL$8:$AQ$322,3,FALSE)+L145</f>
        <v>-1329827</v>
      </c>
      <c r="S145" s="220">
        <f>+VLOOKUP(A145,'Change in Proportion Layers'!$AL$8:$AQ$322,4,FALSE)+M145</f>
        <v>-731450</v>
      </c>
      <c r="T145" s="220">
        <f>+VLOOKUP(A145,'Change in Proportion Layers'!$AL$8:$AQ$322,5,FALSE)+N145</f>
        <v>-219836</v>
      </c>
      <c r="U145" s="220">
        <f>+VLOOKUP(A145,'Change in Proportion Layers'!$AL$8:$AQ$322,6,FALSE)+O145-1</f>
        <v>323197</v>
      </c>
      <c r="W145" s="220">
        <f>('OPEB Amounts_Report'!H145-'OPEB Amounts_Report'!M145)</f>
        <v>-3039220</v>
      </c>
      <c r="X145" s="245">
        <f t="shared" si="23"/>
        <v>0</v>
      </c>
    </row>
    <row r="146" spans="1:24" s="8" customFormat="1">
      <c r="A146" s="211">
        <v>3160</v>
      </c>
      <c r="B146" s="212" t="s">
        <v>134</v>
      </c>
      <c r="C146" s="46">
        <f t="shared" si="24"/>
        <v>-349941</v>
      </c>
      <c r="D146" s="46">
        <f t="shared" si="25"/>
        <v>-371715</v>
      </c>
      <c r="E146" s="46">
        <f t="shared" si="26"/>
        <v>-246087</v>
      </c>
      <c r="F146" s="46">
        <f t="shared" si="27"/>
        <v>-93204</v>
      </c>
      <c r="G146" s="46">
        <f t="shared" si="28"/>
        <v>34155</v>
      </c>
      <c r="I146" s="49"/>
      <c r="K146" s="220">
        <f>ROUND(VLOOKUP($A146,'Contribution Allocation_Report'!$A$9:$D$314,4,FALSE)*$K$326,0)</f>
        <v>-258727</v>
      </c>
      <c r="L146" s="220">
        <f>ROUND(VLOOKUP($A146,'Contribution Allocation_Report'!$A$9:$D$314,4,FALSE)*$L$326,0)</f>
        <v>-354843</v>
      </c>
      <c r="M146" s="220">
        <f>ROUND(VLOOKUP($A146,'Contribution Allocation_Report'!$A$9:$D$314,4,FALSE)*$M$326,0)</f>
        <v>-232008</v>
      </c>
      <c r="N146" s="220">
        <f>ROUND(VLOOKUP($A146,'Contribution Allocation_Report'!$A$9:$D$314,4,FALSE)*$N$326,0)</f>
        <v>-59344</v>
      </c>
      <c r="O146" s="220">
        <f>ROUND(VLOOKUP($A146,'Contribution Allocation_Report'!$A$9:$D$314,4,FALSE)*$O$326,0)</f>
        <v>25546</v>
      </c>
      <c r="Q146" s="220">
        <f>+VLOOKUP(A146,'Change in Proportion Layers'!$AL$8:$AQ$322,2,FALSE)+K146</f>
        <v>-349941</v>
      </c>
      <c r="R146" s="220">
        <f>+VLOOKUP(A146,'Change in Proportion Layers'!$AL$8:$AQ$322,3,FALSE)+L146</f>
        <v>-371715</v>
      </c>
      <c r="S146" s="220">
        <f>+VLOOKUP(A146,'Change in Proportion Layers'!$AL$8:$AQ$322,4,FALSE)+M146</f>
        <v>-246087</v>
      </c>
      <c r="T146" s="220">
        <f>+VLOOKUP(A146,'Change in Proportion Layers'!$AL$8:$AQ$322,5,FALSE)+N146</f>
        <v>-93204</v>
      </c>
      <c r="U146" s="220">
        <f>+VLOOKUP(A146,'Change in Proportion Layers'!$AL$8:$AQ$322,6,FALSE)+O146</f>
        <v>34155</v>
      </c>
      <c r="W146" s="220">
        <f>('OPEB Amounts_Report'!H146-'OPEB Amounts_Report'!M146)</f>
        <v>-1026792</v>
      </c>
      <c r="X146" s="245">
        <f t="shared" si="23"/>
        <v>0</v>
      </c>
    </row>
    <row r="147" spans="1:24" s="8" customFormat="1">
      <c r="A147" s="209">
        <v>10120</v>
      </c>
      <c r="B147" s="210" t="s">
        <v>135</v>
      </c>
      <c r="C147" s="219">
        <f t="shared" si="24"/>
        <v>-143225</v>
      </c>
      <c r="D147" s="219">
        <f t="shared" si="25"/>
        <v>-179374</v>
      </c>
      <c r="E147" s="219">
        <f t="shared" si="26"/>
        <v>-121636</v>
      </c>
      <c r="F147" s="219">
        <f t="shared" si="27"/>
        <v>-48403</v>
      </c>
      <c r="G147" s="219">
        <f t="shared" si="28"/>
        <v>5213</v>
      </c>
      <c r="I147" s="49"/>
      <c r="K147" s="220">
        <f>ROUND(VLOOKUP($A147,'Contribution Allocation_Report'!$A$9:$D$314,4,FALSE)*$K$326,0)</f>
        <v>-126271</v>
      </c>
      <c r="L147" s="220">
        <f>ROUND(VLOOKUP($A147,'Contribution Allocation_Report'!$A$9:$D$314,4,FALSE)*$L$326,0)</f>
        <v>-173180</v>
      </c>
      <c r="M147" s="220">
        <f>ROUND(VLOOKUP($A147,'Contribution Allocation_Report'!$A$9:$D$314,4,FALSE)*$M$326,0)</f>
        <v>-113230</v>
      </c>
      <c r="N147" s="220">
        <f>ROUND(VLOOKUP($A147,'Contribution Allocation_Report'!$A$9:$D$314,4,FALSE)*$N$326,0)</f>
        <v>-28963</v>
      </c>
      <c r="O147" s="220">
        <f>ROUND(VLOOKUP($A147,'Contribution Allocation_Report'!$A$9:$D$314,4,FALSE)*$O$326,0)</f>
        <v>12468</v>
      </c>
      <c r="Q147" s="220">
        <f>+VLOOKUP(A147,'Change in Proportion Layers'!$AL$8:$AQ$322,2,FALSE)+K147</f>
        <v>-143225</v>
      </c>
      <c r="R147" s="220">
        <f>+VLOOKUP(A147,'Change in Proportion Layers'!$AL$8:$AQ$322,3,FALSE)+L147</f>
        <v>-179374</v>
      </c>
      <c r="S147" s="220">
        <f>+VLOOKUP(A147,'Change in Proportion Layers'!$AL$8:$AQ$322,4,FALSE)+M147</f>
        <v>-121636</v>
      </c>
      <c r="T147" s="220">
        <f>+VLOOKUP(A147,'Change in Proportion Layers'!$AL$8:$AQ$322,5,FALSE)+N147</f>
        <v>-48403</v>
      </c>
      <c r="U147" s="220">
        <f>+VLOOKUP(A147,'Change in Proportion Layers'!$AL$8:$AQ$322,6,FALSE)+O147+1</f>
        <v>5213</v>
      </c>
      <c r="W147" s="220">
        <f>('OPEB Amounts_Report'!H147-'OPEB Amounts_Report'!M147)</f>
        <v>-487425</v>
      </c>
      <c r="X147" s="245">
        <f t="shared" si="23"/>
        <v>0</v>
      </c>
    </row>
    <row r="148" spans="1:24" s="8" customFormat="1">
      <c r="A148" s="211">
        <v>23070</v>
      </c>
      <c r="B148" s="212" t="s">
        <v>136</v>
      </c>
      <c r="C148" s="46">
        <f t="shared" si="24"/>
        <v>-240495</v>
      </c>
      <c r="D148" s="46">
        <f t="shared" si="25"/>
        <v>-330313</v>
      </c>
      <c r="E148" s="46">
        <f t="shared" si="26"/>
        <v>-238503</v>
      </c>
      <c r="F148" s="46">
        <f t="shared" si="27"/>
        <v>-107731</v>
      </c>
      <c r="G148" s="46">
        <f t="shared" si="28"/>
        <v>1134</v>
      </c>
      <c r="I148" s="49"/>
      <c r="K148" s="220">
        <f>ROUND(VLOOKUP($A148,'Contribution Allocation_Report'!$A$9:$D$314,4,FALSE)*$K$326,0)</f>
        <v>-187118</v>
      </c>
      <c r="L148" s="220">
        <f>ROUND(VLOOKUP($A148,'Contribution Allocation_Report'!$A$9:$D$314,4,FALSE)*$L$326,0)</f>
        <v>-256631</v>
      </c>
      <c r="M148" s="220">
        <f>ROUND(VLOOKUP($A148,'Contribution Allocation_Report'!$A$9:$D$314,4,FALSE)*$M$326,0)</f>
        <v>-167794</v>
      </c>
      <c r="N148" s="220">
        <f>ROUND(VLOOKUP($A148,'Contribution Allocation_Report'!$A$9:$D$314,4,FALSE)*$N$326,0)</f>
        <v>-42919</v>
      </c>
      <c r="O148" s="220">
        <f>ROUND(VLOOKUP($A148,'Contribution Allocation_Report'!$A$9:$D$314,4,FALSE)*$O$326,0)</f>
        <v>18475</v>
      </c>
      <c r="Q148" s="220">
        <f>+VLOOKUP(A148,'Change in Proportion Layers'!$AL$8:$AQ$322,2,FALSE)+K148</f>
        <v>-240495</v>
      </c>
      <c r="R148" s="220">
        <f>+VLOOKUP(A148,'Change in Proportion Layers'!$AL$8:$AQ$322,3,FALSE)+L148</f>
        <v>-330313</v>
      </c>
      <c r="S148" s="220">
        <f>+VLOOKUP(A148,'Change in Proportion Layers'!$AL$8:$AQ$322,4,FALSE)+M148</f>
        <v>-238503</v>
      </c>
      <c r="T148" s="220">
        <f>+VLOOKUP(A148,'Change in Proportion Layers'!$AL$8:$AQ$322,5,FALSE)+N148</f>
        <v>-107731</v>
      </c>
      <c r="U148" s="220">
        <f>+VLOOKUP(A148,'Change in Proportion Layers'!$AL$8:$AQ$322,6,FALSE)+O148</f>
        <v>1134</v>
      </c>
      <c r="W148" s="220">
        <f>('OPEB Amounts_Report'!H148-'OPEB Amounts_Report'!M148)</f>
        <v>-915908</v>
      </c>
      <c r="X148" s="245">
        <f t="shared" si="23"/>
        <v>0</v>
      </c>
    </row>
    <row r="149" spans="1:24" s="8" customFormat="1">
      <c r="A149" s="209">
        <v>3170</v>
      </c>
      <c r="B149" s="210" t="s">
        <v>137</v>
      </c>
      <c r="C149" s="219">
        <f t="shared" si="24"/>
        <v>-2743626</v>
      </c>
      <c r="D149" s="219">
        <f t="shared" si="25"/>
        <v>-3300710</v>
      </c>
      <c r="E149" s="219">
        <f t="shared" si="26"/>
        <v>-2247879</v>
      </c>
      <c r="F149" s="219">
        <f t="shared" si="27"/>
        <v>-206957</v>
      </c>
      <c r="G149" s="219">
        <f t="shared" si="28"/>
        <v>710382</v>
      </c>
      <c r="I149" s="49"/>
      <c r="K149" s="220">
        <f>ROUND(VLOOKUP($A149,'Contribution Allocation_Report'!$A$9:$D$314,4,FALSE)*$K$326,0)</f>
        <v>-2786265</v>
      </c>
      <c r="L149" s="220">
        <f>ROUND(VLOOKUP($A149,'Contribution Allocation_Report'!$A$9:$D$314,4,FALSE)*$L$326,0)</f>
        <v>-3821353</v>
      </c>
      <c r="M149" s="220">
        <f>ROUND(VLOOKUP($A149,'Contribution Allocation_Report'!$A$9:$D$314,4,FALSE)*$M$326,0)</f>
        <v>-2498523</v>
      </c>
      <c r="N149" s="220">
        <f>ROUND(VLOOKUP($A149,'Contribution Allocation_Report'!$A$9:$D$314,4,FALSE)*$N$326,0)</f>
        <v>-639087</v>
      </c>
      <c r="O149" s="220">
        <f>ROUND(VLOOKUP($A149,'Contribution Allocation_Report'!$A$9:$D$314,4,FALSE)*$O$326,0)</f>
        <v>275108</v>
      </c>
      <c r="Q149" s="220">
        <f>+VLOOKUP(A149,'Change in Proportion Layers'!$AL$8:$AQ$322,2,FALSE)+K149</f>
        <v>-2743626</v>
      </c>
      <c r="R149" s="220">
        <f>+VLOOKUP(A149,'Change in Proportion Layers'!$AL$8:$AQ$322,3,FALSE)+L149</f>
        <v>-3300710</v>
      </c>
      <c r="S149" s="220">
        <f>+VLOOKUP(A149,'Change in Proportion Layers'!$AL$8:$AQ$322,4,FALSE)+M149</f>
        <v>-2247879</v>
      </c>
      <c r="T149" s="220">
        <f>+VLOOKUP(A149,'Change in Proportion Layers'!$AL$8:$AQ$322,5,FALSE)+N149</f>
        <v>-206957</v>
      </c>
      <c r="U149" s="220">
        <f>+VLOOKUP(A149,'Change in Proportion Layers'!$AL$8:$AQ$322,6,FALSE)+O149-1</f>
        <v>710382</v>
      </c>
      <c r="W149" s="220">
        <f>('OPEB Amounts_Report'!H149-'OPEB Amounts_Report'!M149)</f>
        <v>-7788790</v>
      </c>
      <c r="X149" s="245">
        <f t="shared" si="23"/>
        <v>0</v>
      </c>
    </row>
    <row r="150" spans="1:24" s="8" customFormat="1">
      <c r="A150" s="209">
        <v>32093</v>
      </c>
      <c r="B150" s="210" t="s">
        <v>138</v>
      </c>
      <c r="C150" s="47">
        <f t="shared" si="24"/>
        <v>-1580990</v>
      </c>
      <c r="D150" s="47">
        <f t="shared" si="25"/>
        <v>-2238875</v>
      </c>
      <c r="E150" s="47">
        <f t="shared" si="26"/>
        <v>-1520977</v>
      </c>
      <c r="F150" s="47">
        <f t="shared" si="27"/>
        <v>-353957</v>
      </c>
      <c r="G150" s="47">
        <f t="shared" si="28"/>
        <v>171002</v>
      </c>
      <c r="I150" s="49"/>
      <c r="K150" s="220">
        <f>ROUND(VLOOKUP($A150,'Contribution Allocation_Report'!$A$9:$D$314,4,FALSE)*$K$326,0)</f>
        <v>-1695175</v>
      </c>
      <c r="L150" s="220">
        <f>ROUND(VLOOKUP($A150,'Contribution Allocation_Report'!$A$9:$D$314,4,FALSE)*$L$326,0)</f>
        <v>-2324927</v>
      </c>
      <c r="M150" s="220">
        <f>ROUND(VLOOKUP($A150,'Contribution Allocation_Report'!$A$9:$D$314,4,FALSE)*$M$326,0)</f>
        <v>-1520111</v>
      </c>
      <c r="N150" s="220">
        <f>ROUND(VLOOKUP($A150,'Contribution Allocation_Report'!$A$9:$D$314,4,FALSE)*$N$326,0)</f>
        <v>-388823</v>
      </c>
      <c r="O150" s="220">
        <f>ROUND(VLOOKUP($A150,'Contribution Allocation_Report'!$A$9:$D$314,4,FALSE)*$O$326,0)</f>
        <v>167377</v>
      </c>
      <c r="Q150" s="220">
        <f>+VLOOKUP(A150,'Change in Proportion Layers'!$AL$8:$AQ$322,2,FALSE)+K150</f>
        <v>-1580990</v>
      </c>
      <c r="R150" s="220">
        <f>+VLOOKUP(A150,'Change in Proportion Layers'!$AL$8:$AQ$322,3,FALSE)+L150</f>
        <v>-2238875</v>
      </c>
      <c r="S150" s="220">
        <f>+VLOOKUP(A150,'Change in Proportion Layers'!$AL$8:$AQ$322,4,FALSE)+M150</f>
        <v>-1520977</v>
      </c>
      <c r="T150" s="220">
        <f>+VLOOKUP(A150,'Change in Proportion Layers'!$AL$8:$AQ$322,5,FALSE)+N150</f>
        <v>-353957</v>
      </c>
      <c r="U150" s="220">
        <f>+VLOOKUP(A150,'Change in Proportion Layers'!$AL$8:$AQ$322,6,FALSE)+O150</f>
        <v>171002</v>
      </c>
      <c r="W150" s="220">
        <f>('OPEB Amounts_Report'!H150-'OPEB Amounts_Report'!M150)</f>
        <v>-5523797</v>
      </c>
      <c r="X150" s="245">
        <f t="shared" si="23"/>
        <v>0</v>
      </c>
    </row>
    <row r="151" spans="1:24" s="8" customFormat="1">
      <c r="A151" s="211">
        <v>14045</v>
      </c>
      <c r="B151" s="212" t="s">
        <v>139</v>
      </c>
      <c r="C151" s="46">
        <f t="shared" si="24"/>
        <v>-2335067</v>
      </c>
      <c r="D151" s="46">
        <f t="shared" si="25"/>
        <v>-3749186</v>
      </c>
      <c r="E151" s="46">
        <f t="shared" si="26"/>
        <v>-2238668</v>
      </c>
      <c r="F151" s="46">
        <f t="shared" si="27"/>
        <v>-166965</v>
      </c>
      <c r="G151" s="46">
        <f t="shared" si="28"/>
        <v>313046</v>
      </c>
      <c r="I151" s="49"/>
      <c r="K151" s="220">
        <f>ROUND(VLOOKUP($A151,'Contribution Allocation_Report'!$A$9:$D$314,4,FALSE)*$K$326,0)</f>
        <v>-3197531</v>
      </c>
      <c r="L151" s="220">
        <f>ROUND(VLOOKUP($A151,'Contribution Allocation_Report'!$A$9:$D$314,4,FALSE)*$L$326,0)</f>
        <v>-4385403</v>
      </c>
      <c r="M151" s="220">
        <f>ROUND(VLOOKUP($A151,'Contribution Allocation_Report'!$A$9:$D$314,4,FALSE)*$M$326,0)</f>
        <v>-2867316</v>
      </c>
      <c r="N151" s="220">
        <f>ROUND(VLOOKUP($A151,'Contribution Allocation_Report'!$A$9:$D$314,4,FALSE)*$N$326,0)</f>
        <v>-733419</v>
      </c>
      <c r="O151" s="220">
        <f>ROUND(VLOOKUP($A151,'Contribution Allocation_Report'!$A$9:$D$314,4,FALSE)*$O$326,0)</f>
        <v>315715</v>
      </c>
      <c r="Q151" s="220">
        <f>+VLOOKUP(A151,'Change in Proportion Layers'!$AL$8:$AQ$322,2,FALSE)+K151</f>
        <v>-2335067</v>
      </c>
      <c r="R151" s="220">
        <f>+VLOOKUP(A151,'Change in Proportion Layers'!$AL$8:$AQ$322,3,FALSE)+L151</f>
        <v>-3749186</v>
      </c>
      <c r="S151" s="220">
        <f>+VLOOKUP(A151,'Change in Proportion Layers'!$AL$8:$AQ$322,4,FALSE)+M151</f>
        <v>-2238668</v>
      </c>
      <c r="T151" s="220">
        <f>+VLOOKUP(A151,'Change in Proportion Layers'!$AL$8:$AQ$322,5,FALSE)+N151</f>
        <v>-166965</v>
      </c>
      <c r="U151" s="220">
        <f>+VLOOKUP(A151,'Change in Proportion Layers'!$AL$8:$AQ$322,6,FALSE)+O151</f>
        <v>313046</v>
      </c>
      <c r="W151" s="220">
        <f>('OPEB Amounts_Report'!H151-'OPEB Amounts_Report'!M151)</f>
        <v>-8176840</v>
      </c>
      <c r="X151" s="245">
        <f t="shared" si="23"/>
        <v>0</v>
      </c>
    </row>
    <row r="152" spans="1:24" s="8" customFormat="1">
      <c r="A152" s="209">
        <v>2322</v>
      </c>
      <c r="B152" s="210" t="s">
        <v>140</v>
      </c>
      <c r="C152" s="219">
        <f t="shared" si="24"/>
        <v>-105468</v>
      </c>
      <c r="D152" s="219">
        <f t="shared" si="25"/>
        <v>-96886</v>
      </c>
      <c r="E152" s="219">
        <f t="shared" si="26"/>
        <v>-66018</v>
      </c>
      <c r="F152" s="219">
        <f t="shared" si="27"/>
        <v>-53666</v>
      </c>
      <c r="G152" s="219">
        <f t="shared" si="28"/>
        <v>-31265</v>
      </c>
      <c r="I152" s="49"/>
      <c r="K152" s="220">
        <f>ROUND(VLOOKUP($A152,'Contribution Allocation_Report'!$A$9:$D$314,4,FALSE)*$K$326,0)</f>
        <v>-57231</v>
      </c>
      <c r="L152" s="220">
        <f>ROUND(VLOOKUP($A152,'Contribution Allocation_Report'!$A$9:$D$314,4,FALSE)*$L$326,0)</f>
        <v>-78493</v>
      </c>
      <c r="M152" s="220">
        <f>ROUND(VLOOKUP($A152,'Contribution Allocation_Report'!$A$9:$D$314,4,FALSE)*$M$326,0)</f>
        <v>-51321</v>
      </c>
      <c r="N152" s="220">
        <f>ROUND(VLOOKUP($A152,'Contribution Allocation_Report'!$A$9:$D$314,4,FALSE)*$N$326,0)</f>
        <v>-13127</v>
      </c>
      <c r="O152" s="220">
        <f>ROUND(VLOOKUP($A152,'Contribution Allocation_Report'!$A$9:$D$314,4,FALSE)*$O$326,0)</f>
        <v>5651</v>
      </c>
      <c r="Q152" s="220">
        <f>+VLOOKUP(A152,'Change in Proportion Layers'!$AL$8:$AQ$322,2,FALSE)+K152</f>
        <v>-105468</v>
      </c>
      <c r="R152" s="220">
        <f>+VLOOKUP(A152,'Change in Proportion Layers'!$AL$8:$AQ$322,3,FALSE)+L152</f>
        <v>-96886</v>
      </c>
      <c r="S152" s="220">
        <f>+VLOOKUP(A152,'Change in Proportion Layers'!$AL$8:$AQ$322,4,FALSE)+M152</f>
        <v>-66018</v>
      </c>
      <c r="T152" s="220">
        <f>+VLOOKUP(A152,'Change in Proportion Layers'!$AL$8:$AQ$322,5,FALSE)+N152</f>
        <v>-53666</v>
      </c>
      <c r="U152" s="220">
        <f>+VLOOKUP(A152,'Change in Proportion Layers'!$AL$8:$AQ$322,6,FALSE)+O152-1</f>
        <v>-31265</v>
      </c>
      <c r="W152" s="220">
        <f>('OPEB Amounts_Report'!H152-'OPEB Amounts_Report'!M152)</f>
        <v>-353303</v>
      </c>
      <c r="X152" s="245">
        <f t="shared" si="23"/>
        <v>0</v>
      </c>
    </row>
    <row r="153" spans="1:24" s="8" customFormat="1">
      <c r="A153" s="211">
        <v>3006</v>
      </c>
      <c r="B153" s="212" t="s">
        <v>141</v>
      </c>
      <c r="C153" s="46">
        <f t="shared" si="24"/>
        <v>-94476</v>
      </c>
      <c r="D153" s="46">
        <f t="shared" si="25"/>
        <v>-268149</v>
      </c>
      <c r="E153" s="46">
        <f t="shared" si="26"/>
        <v>-226890</v>
      </c>
      <c r="F153" s="46">
        <f t="shared" si="27"/>
        <v>-29914</v>
      </c>
      <c r="G153" s="46">
        <f t="shared" si="28"/>
        <v>14420</v>
      </c>
      <c r="I153" s="49"/>
      <c r="K153" s="220">
        <f>ROUND(VLOOKUP($A153,'Contribution Allocation_Report'!$A$9:$D$314,4,FALSE)*$K$326,0)</f>
        <v>-250508</v>
      </c>
      <c r="L153" s="220">
        <f>ROUND(VLOOKUP($A153,'Contribution Allocation_Report'!$A$9:$D$314,4,FALSE)*$L$326,0)</f>
        <v>-343572</v>
      </c>
      <c r="M153" s="220">
        <f>ROUND(VLOOKUP($A153,'Contribution Allocation_Report'!$A$9:$D$314,4,FALSE)*$M$326,0)</f>
        <v>-224638</v>
      </c>
      <c r="N153" s="220">
        <f>ROUND(VLOOKUP($A153,'Contribution Allocation_Report'!$A$9:$D$314,4,FALSE)*$N$326,0)</f>
        <v>-57459</v>
      </c>
      <c r="O153" s="220">
        <f>ROUND(VLOOKUP($A153,'Contribution Allocation_Report'!$A$9:$D$314,4,FALSE)*$O$326,0)</f>
        <v>24734</v>
      </c>
      <c r="Q153" s="220">
        <f>+VLOOKUP(A153,'Change in Proportion Layers'!$AL$8:$AQ$322,2,FALSE)+K153</f>
        <v>-94476</v>
      </c>
      <c r="R153" s="220">
        <f>+VLOOKUP(A153,'Change in Proportion Layers'!$AL$8:$AQ$322,3,FALSE)+L153</f>
        <v>-268149</v>
      </c>
      <c r="S153" s="220">
        <f>+VLOOKUP(A153,'Change in Proportion Layers'!$AL$8:$AQ$322,4,FALSE)+M153</f>
        <v>-226890</v>
      </c>
      <c r="T153" s="220">
        <f>+VLOOKUP(A153,'Change in Proportion Layers'!$AL$8:$AQ$322,5,FALSE)+N153</f>
        <v>-29914</v>
      </c>
      <c r="U153" s="220">
        <f>+VLOOKUP(A153,'Change in Proportion Layers'!$AL$8:$AQ$322,6,FALSE)+O153</f>
        <v>14420</v>
      </c>
      <c r="W153" s="220">
        <f>('OPEB Amounts_Report'!H153-'OPEB Amounts_Report'!M153)</f>
        <v>-605009</v>
      </c>
      <c r="X153" s="245">
        <f t="shared" si="23"/>
        <v>0</v>
      </c>
    </row>
    <row r="154" spans="1:24" s="8" customFormat="1">
      <c r="A154" s="209">
        <v>6019</v>
      </c>
      <c r="B154" s="210" t="s">
        <v>142</v>
      </c>
      <c r="C154" s="219">
        <f t="shared" si="24"/>
        <v>-965316</v>
      </c>
      <c r="D154" s="219">
        <f t="shared" si="25"/>
        <v>-1615867</v>
      </c>
      <c r="E154" s="219">
        <f t="shared" si="26"/>
        <v>-1093034</v>
      </c>
      <c r="F154" s="219">
        <f t="shared" si="27"/>
        <v>-73640</v>
      </c>
      <c r="G154" s="219">
        <f t="shared" si="28"/>
        <v>60767</v>
      </c>
      <c r="I154" s="49"/>
      <c r="K154" s="220">
        <f>ROUND(VLOOKUP($A154,'Contribution Allocation_Report'!$A$9:$D$314,4,FALSE)*$K$326,0)</f>
        <v>-1340336</v>
      </c>
      <c r="L154" s="220">
        <f>ROUND(VLOOKUP($A154,'Contribution Allocation_Report'!$A$9:$D$314,4,FALSE)*$L$326,0)</f>
        <v>-1838266</v>
      </c>
      <c r="M154" s="220">
        <f>ROUND(VLOOKUP($A154,'Contribution Allocation_Report'!$A$9:$D$314,4,FALSE)*$M$326,0)</f>
        <v>-1201917</v>
      </c>
      <c r="N154" s="220">
        <f>ROUND(VLOOKUP($A154,'Contribution Allocation_Report'!$A$9:$D$314,4,FALSE)*$N$326,0)</f>
        <v>-307433</v>
      </c>
      <c r="O154" s="220">
        <f>ROUND(VLOOKUP($A154,'Contribution Allocation_Report'!$A$9:$D$314,4,FALSE)*$O$326,0)</f>
        <v>132341</v>
      </c>
      <c r="Q154" s="220">
        <f>+VLOOKUP(A154,'Change in Proportion Layers'!$AL$8:$AQ$322,2,FALSE)+K154</f>
        <v>-965316</v>
      </c>
      <c r="R154" s="220">
        <f>+VLOOKUP(A154,'Change in Proportion Layers'!$AL$8:$AQ$322,3,FALSE)+L154</f>
        <v>-1615867</v>
      </c>
      <c r="S154" s="220">
        <f>+VLOOKUP(A154,'Change in Proportion Layers'!$AL$8:$AQ$322,4,FALSE)+M154</f>
        <v>-1093034</v>
      </c>
      <c r="T154" s="220">
        <f>+VLOOKUP(A154,'Change in Proportion Layers'!$AL$8:$AQ$322,5,FALSE)+N154</f>
        <v>-73640</v>
      </c>
      <c r="U154" s="220">
        <f>+VLOOKUP(A154,'Change in Proportion Layers'!$AL$8:$AQ$322,6,FALSE)+O154</f>
        <v>60767</v>
      </c>
      <c r="W154" s="220">
        <f>('OPEB Amounts_Report'!H154-'OPEB Amounts_Report'!M154)</f>
        <v>-3687090</v>
      </c>
      <c r="X154" s="245">
        <f t="shared" si="23"/>
        <v>0</v>
      </c>
    </row>
    <row r="155" spans="1:24" s="8" customFormat="1">
      <c r="A155" s="211">
        <v>12128</v>
      </c>
      <c r="B155" s="212" t="s">
        <v>143</v>
      </c>
      <c r="C155" s="46">
        <f t="shared" si="24"/>
        <v>-595981</v>
      </c>
      <c r="D155" s="46">
        <f t="shared" si="25"/>
        <v>-592922</v>
      </c>
      <c r="E155" s="46">
        <f t="shared" si="26"/>
        <v>-394372</v>
      </c>
      <c r="F155" s="46">
        <f t="shared" si="27"/>
        <v>-106428</v>
      </c>
      <c r="G155" s="46">
        <f t="shared" si="28"/>
        <v>13549</v>
      </c>
      <c r="I155" s="49"/>
      <c r="K155" s="220">
        <f>ROUND(VLOOKUP($A155,'Contribution Allocation_Report'!$A$9:$D$314,4,FALSE)*$K$326,0)</f>
        <v>-258407</v>
      </c>
      <c r="L155" s="220">
        <f>ROUND(VLOOKUP($A155,'Contribution Allocation_Report'!$A$9:$D$314,4,FALSE)*$L$326,0)</f>
        <v>-354404</v>
      </c>
      <c r="M155" s="220">
        <f>ROUND(VLOOKUP($A155,'Contribution Allocation_Report'!$A$9:$D$314,4,FALSE)*$M$326,0)</f>
        <v>-231720</v>
      </c>
      <c r="N155" s="220">
        <f>ROUND(VLOOKUP($A155,'Contribution Allocation_Report'!$A$9:$D$314,4,FALSE)*$N$326,0)</f>
        <v>-59271</v>
      </c>
      <c r="O155" s="220">
        <f>ROUND(VLOOKUP($A155,'Contribution Allocation_Report'!$A$9:$D$314,4,FALSE)*$O$326,0)</f>
        <v>25514</v>
      </c>
      <c r="Q155" s="220">
        <f>+VLOOKUP(A155,'Change in Proportion Layers'!$AL$8:$AQ$322,2,FALSE)+K155</f>
        <v>-595981</v>
      </c>
      <c r="R155" s="220">
        <f>+VLOOKUP(A155,'Change in Proportion Layers'!$AL$8:$AQ$322,3,FALSE)+L155</f>
        <v>-592922</v>
      </c>
      <c r="S155" s="220">
        <f>+VLOOKUP(A155,'Change in Proportion Layers'!$AL$8:$AQ$322,4,FALSE)+M155</f>
        <v>-394372</v>
      </c>
      <c r="T155" s="220">
        <f>+VLOOKUP(A155,'Change in Proportion Layers'!$AL$8:$AQ$322,5,FALSE)+N155</f>
        <v>-106428</v>
      </c>
      <c r="U155" s="220">
        <f>+VLOOKUP(A155,'Change in Proportion Layers'!$AL$8:$AQ$322,6,FALSE)+O155</f>
        <v>13549</v>
      </c>
      <c r="W155" s="220">
        <f>('OPEB Amounts_Report'!H155-'OPEB Amounts_Report'!M155)</f>
        <v>-1676154</v>
      </c>
      <c r="X155" s="245">
        <f t="shared" si="23"/>
        <v>0</v>
      </c>
    </row>
    <row r="156" spans="1:24" s="8" customFormat="1">
      <c r="A156" s="209">
        <v>3180</v>
      </c>
      <c r="B156" s="210" t="s">
        <v>144</v>
      </c>
      <c r="C156" s="219">
        <f t="shared" si="24"/>
        <v>-574948</v>
      </c>
      <c r="D156" s="219">
        <f t="shared" si="25"/>
        <v>-733031</v>
      </c>
      <c r="E156" s="219">
        <f t="shared" si="26"/>
        <v>-460661</v>
      </c>
      <c r="F156" s="219">
        <f t="shared" si="27"/>
        <v>-185297</v>
      </c>
      <c r="G156" s="219">
        <f t="shared" si="28"/>
        <v>9683</v>
      </c>
      <c r="I156" s="49"/>
      <c r="K156" s="220">
        <f>ROUND(VLOOKUP($A156,'Contribution Allocation_Report'!$A$9:$D$314,4,FALSE)*$K$326,0)</f>
        <v>-479301</v>
      </c>
      <c r="L156" s="220">
        <f>ROUND(VLOOKUP($A156,'Contribution Allocation_Report'!$A$9:$D$314,4,FALSE)*$L$326,0)</f>
        <v>-657359</v>
      </c>
      <c r="M156" s="220">
        <f>ROUND(VLOOKUP($A156,'Contribution Allocation_Report'!$A$9:$D$314,4,FALSE)*$M$326,0)</f>
        <v>-429802</v>
      </c>
      <c r="N156" s="220">
        <f>ROUND(VLOOKUP($A156,'Contribution Allocation_Report'!$A$9:$D$314,4,FALSE)*$N$326,0)</f>
        <v>-109937</v>
      </c>
      <c r="O156" s="220">
        <f>ROUND(VLOOKUP($A156,'Contribution Allocation_Report'!$A$9:$D$314,4,FALSE)*$O$326,0)</f>
        <v>47325</v>
      </c>
      <c r="Q156" s="220">
        <f>+VLOOKUP(A156,'Change in Proportion Layers'!$AL$8:$AQ$322,2,FALSE)+K156</f>
        <v>-574948</v>
      </c>
      <c r="R156" s="220">
        <f>+VLOOKUP(A156,'Change in Proportion Layers'!$AL$8:$AQ$322,3,FALSE)+L156</f>
        <v>-733031</v>
      </c>
      <c r="S156" s="220">
        <f>+VLOOKUP(A156,'Change in Proportion Layers'!$AL$8:$AQ$322,4,FALSE)+M156</f>
        <v>-460661</v>
      </c>
      <c r="T156" s="220">
        <f>+VLOOKUP(A156,'Change in Proportion Layers'!$AL$8:$AQ$322,5,FALSE)+N156</f>
        <v>-185297</v>
      </c>
      <c r="U156" s="220">
        <f>+VLOOKUP(A156,'Change in Proportion Layers'!$AL$8:$AQ$322,6,FALSE)+O156-1</f>
        <v>9683</v>
      </c>
      <c r="W156" s="220">
        <f>('OPEB Amounts_Report'!H156-'OPEB Amounts_Report'!M156)</f>
        <v>-1944254</v>
      </c>
      <c r="X156" s="245">
        <f t="shared" si="23"/>
        <v>0</v>
      </c>
    </row>
    <row r="157" spans="1:24" s="8" customFormat="1">
      <c r="A157" s="211">
        <v>25075</v>
      </c>
      <c r="B157" s="212" t="s">
        <v>145</v>
      </c>
      <c r="C157" s="46">
        <f t="shared" si="24"/>
        <v>-182625</v>
      </c>
      <c r="D157" s="46">
        <f t="shared" si="25"/>
        <v>-238750</v>
      </c>
      <c r="E157" s="46">
        <f t="shared" si="26"/>
        <v>-169836</v>
      </c>
      <c r="F157" s="46">
        <f t="shared" si="27"/>
        <v>-75375</v>
      </c>
      <c r="G157" s="46">
        <f t="shared" si="28"/>
        <v>21818</v>
      </c>
      <c r="I157" s="49"/>
      <c r="K157" s="220">
        <f>ROUND(VLOOKUP($A157,'Contribution Allocation_Report'!$A$9:$D$314,4,FALSE)*$K$326,0)</f>
        <v>-209762</v>
      </c>
      <c r="L157" s="220">
        <f>ROUND(VLOOKUP($A157,'Contribution Allocation_Report'!$A$9:$D$314,4,FALSE)*$L$326,0)</f>
        <v>-287687</v>
      </c>
      <c r="M157" s="220">
        <f>ROUND(VLOOKUP($A157,'Contribution Allocation_Report'!$A$9:$D$314,4,FALSE)*$M$326,0)</f>
        <v>-188099</v>
      </c>
      <c r="N157" s="220">
        <f>ROUND(VLOOKUP($A157,'Contribution Allocation_Report'!$A$9:$D$314,4,FALSE)*$N$326,0)</f>
        <v>-48113</v>
      </c>
      <c r="O157" s="220">
        <f>ROUND(VLOOKUP($A157,'Contribution Allocation_Report'!$A$9:$D$314,4,FALSE)*$O$326,0)</f>
        <v>20711</v>
      </c>
      <c r="Q157" s="220">
        <f>+VLOOKUP(A157,'Change in Proportion Layers'!$AL$8:$AQ$322,2,FALSE)+K157</f>
        <v>-182625</v>
      </c>
      <c r="R157" s="220">
        <f>+VLOOKUP(A157,'Change in Proportion Layers'!$AL$8:$AQ$322,3,FALSE)+L157</f>
        <v>-238750</v>
      </c>
      <c r="S157" s="220">
        <f>+VLOOKUP(A157,'Change in Proportion Layers'!$AL$8:$AQ$322,4,FALSE)+M157</f>
        <v>-169836</v>
      </c>
      <c r="T157" s="220">
        <f>+VLOOKUP(A157,'Change in Proportion Layers'!$AL$8:$AQ$322,5,FALSE)+N157</f>
        <v>-75375</v>
      </c>
      <c r="U157" s="220">
        <f>+VLOOKUP(A157,'Change in Proportion Layers'!$AL$8:$AQ$322,6,FALSE)+O157-1</f>
        <v>21818</v>
      </c>
      <c r="W157" s="220">
        <f>('OPEB Amounts_Report'!H157-'OPEB Amounts_Report'!M157)</f>
        <v>-644768</v>
      </c>
      <c r="X157" s="245">
        <f t="shared" si="23"/>
        <v>0</v>
      </c>
    </row>
    <row r="158" spans="1:24" s="192" customFormat="1">
      <c r="A158" s="209">
        <v>2311</v>
      </c>
      <c r="B158" s="210" t="s">
        <v>422</v>
      </c>
      <c r="C158" s="219">
        <f>+Q158</f>
        <v>-39128</v>
      </c>
      <c r="D158" s="219">
        <f>+R158</f>
        <v>-114552</v>
      </c>
      <c r="E158" s="219">
        <f>+S158</f>
        <v>-50915</v>
      </c>
      <c r="F158" s="219">
        <f>+T158</f>
        <v>-15567</v>
      </c>
      <c r="G158" s="219">
        <f>+U158</f>
        <v>9838</v>
      </c>
      <c r="H158" s="8"/>
      <c r="I158" s="49"/>
      <c r="J158" s="8"/>
      <c r="K158" s="220">
        <f>ROUND(VLOOKUP($A158,'Contribution Allocation_Report'!$A$9:$D$314,4,FALSE)*$K$326,0)</f>
        <v>-86410</v>
      </c>
      <c r="L158" s="220">
        <f>ROUND(VLOOKUP($A158,'Contribution Allocation_Report'!$A$9:$D$314,4,FALSE)*$L$326,0)</f>
        <v>-118511</v>
      </c>
      <c r="M158" s="220">
        <f>ROUND(VLOOKUP($A158,'Contribution Allocation_Report'!$A$9:$D$314,4,FALSE)*$M$326,0)</f>
        <v>-77486</v>
      </c>
      <c r="N158" s="220">
        <f>ROUND(VLOOKUP($A158,'Contribution Allocation_Report'!$A$9:$D$314,4,FALSE)*$N$326,0)</f>
        <v>-19820</v>
      </c>
      <c r="O158" s="220">
        <f>ROUND(VLOOKUP($A158,'Contribution Allocation_Report'!$A$9:$D$314,4,FALSE)*$O$326,0)</f>
        <v>8532</v>
      </c>
      <c r="P158" s="8"/>
      <c r="Q158" s="220">
        <f>+VLOOKUP(A158,'Change in Proportion Layers'!$AL$8:$AQ$322,2,FALSE)+K158</f>
        <v>-39128</v>
      </c>
      <c r="R158" s="220">
        <f>+VLOOKUP(A158,'Change in Proportion Layers'!$AL$8:$AQ$322,3,FALSE)+L158</f>
        <v>-114552</v>
      </c>
      <c r="S158" s="220">
        <f>+VLOOKUP(A158,'Change in Proportion Layers'!$AL$8:$AQ$322,4,FALSE)+M158</f>
        <v>-50915</v>
      </c>
      <c r="T158" s="220">
        <f>+VLOOKUP(A158,'Change in Proportion Layers'!$AL$8:$AQ$322,5,FALSE)+N158</f>
        <v>-15567</v>
      </c>
      <c r="U158" s="220">
        <f>+VLOOKUP(A158,'Change in Proportion Layers'!$AL$8:$AQ$322,6,FALSE)+O158+2</f>
        <v>9838</v>
      </c>
      <c r="V158" s="8"/>
      <c r="W158" s="220">
        <f>('OPEB Amounts_Report'!H158-'OPEB Amounts_Report'!M158)</f>
        <v>-210324</v>
      </c>
      <c r="X158" s="245">
        <f t="shared" si="23"/>
        <v>0</v>
      </c>
    </row>
    <row r="159" spans="1:24" s="8" customFormat="1">
      <c r="A159" s="211">
        <v>9028</v>
      </c>
      <c r="B159" s="212" t="s">
        <v>146</v>
      </c>
      <c r="C159" s="46">
        <f t="shared" si="24"/>
        <v>-100169</v>
      </c>
      <c r="D159" s="46">
        <f t="shared" si="25"/>
        <v>-130009</v>
      </c>
      <c r="E159" s="46">
        <f t="shared" si="26"/>
        <v>-82088</v>
      </c>
      <c r="F159" s="46">
        <f t="shared" si="27"/>
        <v>-27536</v>
      </c>
      <c r="G159" s="46">
        <f t="shared" si="28"/>
        <v>-5354</v>
      </c>
      <c r="I159" s="49"/>
      <c r="K159" s="220">
        <f>ROUND(VLOOKUP($A159,'Contribution Allocation_Report'!$A$9:$D$314,4,FALSE)*$K$326,0)</f>
        <v>-71076</v>
      </c>
      <c r="L159" s="220">
        <f>ROUND(VLOOKUP($A159,'Contribution Allocation_Report'!$A$9:$D$314,4,FALSE)*$L$326,0)</f>
        <v>-97481</v>
      </c>
      <c r="M159" s="220">
        <f>ROUND(VLOOKUP($A159,'Contribution Allocation_Report'!$A$9:$D$314,4,FALSE)*$M$326,0)</f>
        <v>-63736</v>
      </c>
      <c r="N159" s="220">
        <f>ROUND(VLOOKUP($A159,'Contribution Allocation_Report'!$A$9:$D$314,4,FALSE)*$N$326,0)</f>
        <v>-16303</v>
      </c>
      <c r="O159" s="220">
        <f>ROUND(VLOOKUP($A159,'Contribution Allocation_Report'!$A$9:$D$314,4,FALSE)*$O$326,0)</f>
        <v>7018</v>
      </c>
      <c r="Q159" s="220">
        <f>+VLOOKUP(A159,'Change in Proportion Layers'!$AL$8:$AQ$322,2,FALSE)+K159</f>
        <v>-100169</v>
      </c>
      <c r="R159" s="220">
        <f>+VLOOKUP(A159,'Change in Proportion Layers'!$AL$8:$AQ$322,3,FALSE)+L159</f>
        <v>-130009</v>
      </c>
      <c r="S159" s="220">
        <f>+VLOOKUP(A159,'Change in Proportion Layers'!$AL$8:$AQ$322,4,FALSE)+M159</f>
        <v>-82088</v>
      </c>
      <c r="T159" s="220">
        <f>+VLOOKUP(A159,'Change in Proportion Layers'!$AL$8:$AQ$322,5,FALSE)+N159</f>
        <v>-27536</v>
      </c>
      <c r="U159" s="220">
        <f>+VLOOKUP(A159,'Change in Proportion Layers'!$AL$8:$AQ$322,6,FALSE)+O159+1</f>
        <v>-5354</v>
      </c>
      <c r="W159" s="220">
        <f>('OPEB Amounts_Report'!H159-'OPEB Amounts_Report'!M159)</f>
        <v>-345156</v>
      </c>
      <c r="X159" s="245">
        <f t="shared" si="23"/>
        <v>0</v>
      </c>
    </row>
    <row r="160" spans="1:24" s="8" customFormat="1">
      <c r="A160" s="209">
        <v>17424</v>
      </c>
      <c r="B160" s="210" t="s">
        <v>147</v>
      </c>
      <c r="C160" s="219">
        <f t="shared" si="24"/>
        <v>-90491</v>
      </c>
      <c r="D160" s="219">
        <f t="shared" si="25"/>
        <v>-180713</v>
      </c>
      <c r="E160" s="219">
        <f t="shared" si="26"/>
        <v>-116966</v>
      </c>
      <c r="F160" s="219">
        <f t="shared" si="27"/>
        <v>-14461</v>
      </c>
      <c r="G160" s="219">
        <f t="shared" si="28"/>
        <v>8480</v>
      </c>
      <c r="I160" s="49"/>
      <c r="K160" s="220">
        <f>ROUND(VLOOKUP($A160,'Contribution Allocation_Report'!$A$9:$D$314,4,FALSE)*$K$326,0)</f>
        <v>-151982</v>
      </c>
      <c r="L160" s="220">
        <f>ROUND(VLOOKUP($A160,'Contribution Allocation_Report'!$A$9:$D$314,4,FALSE)*$L$326,0)</f>
        <v>-208443</v>
      </c>
      <c r="M160" s="220">
        <f>ROUND(VLOOKUP($A160,'Contribution Allocation_Report'!$A$9:$D$314,4,FALSE)*$M$326,0)</f>
        <v>-136287</v>
      </c>
      <c r="N160" s="220">
        <f>ROUND(VLOOKUP($A160,'Contribution Allocation_Report'!$A$9:$D$314,4,FALSE)*$N$326,0)</f>
        <v>-34860</v>
      </c>
      <c r="O160" s="220">
        <f>ROUND(VLOOKUP($A160,'Contribution Allocation_Report'!$A$9:$D$314,4,FALSE)*$O$326,0)</f>
        <v>15006</v>
      </c>
      <c r="Q160" s="220">
        <f>+VLOOKUP(A160,'Change in Proportion Layers'!$AL$8:$AQ$322,2,FALSE)+K160</f>
        <v>-90491</v>
      </c>
      <c r="R160" s="220">
        <f>+VLOOKUP(A160,'Change in Proportion Layers'!$AL$8:$AQ$322,3,FALSE)+L160</f>
        <v>-180713</v>
      </c>
      <c r="S160" s="220">
        <f>+VLOOKUP(A160,'Change in Proportion Layers'!$AL$8:$AQ$322,4,FALSE)+M160</f>
        <v>-116966</v>
      </c>
      <c r="T160" s="220">
        <f>+VLOOKUP(A160,'Change in Proportion Layers'!$AL$8:$AQ$322,5,FALSE)+N160</f>
        <v>-14461</v>
      </c>
      <c r="U160" s="220">
        <f>+VLOOKUP(A160,'Change in Proportion Layers'!$AL$8:$AQ$322,6,FALSE)+O160+1</f>
        <v>8480</v>
      </c>
      <c r="W160" s="220">
        <f>('OPEB Amounts_Report'!H160-'OPEB Amounts_Report'!M160)</f>
        <v>-394151</v>
      </c>
      <c r="X160" s="245">
        <f t="shared" si="23"/>
        <v>0</v>
      </c>
    </row>
    <row r="161" spans="1:24" s="8" customFormat="1">
      <c r="A161" s="211">
        <v>3200</v>
      </c>
      <c r="B161" s="212" t="s">
        <v>148</v>
      </c>
      <c r="C161" s="46">
        <f t="shared" si="24"/>
        <v>-824834</v>
      </c>
      <c r="D161" s="46">
        <f t="shared" si="25"/>
        <v>-874530</v>
      </c>
      <c r="E161" s="46">
        <f t="shared" si="26"/>
        <v>-620156</v>
      </c>
      <c r="F161" s="46">
        <f t="shared" si="27"/>
        <v>-255091</v>
      </c>
      <c r="G161" s="46">
        <f t="shared" si="28"/>
        <v>-8819</v>
      </c>
      <c r="I161" s="49"/>
      <c r="K161" s="220">
        <f>ROUND(VLOOKUP($A161,'Contribution Allocation_Report'!$A$9:$D$314,4,FALSE)*$K$326,0)</f>
        <v>-497066</v>
      </c>
      <c r="L161" s="220">
        <f>ROUND(VLOOKUP($A161,'Contribution Allocation_Report'!$A$9:$D$314,4,FALSE)*$L$326,0)</f>
        <v>-681724</v>
      </c>
      <c r="M161" s="220">
        <f>ROUND(VLOOKUP($A161,'Contribution Allocation_Report'!$A$9:$D$314,4,FALSE)*$M$326,0)</f>
        <v>-445733</v>
      </c>
      <c r="N161" s="220">
        <f>ROUND(VLOOKUP($A161,'Contribution Allocation_Report'!$A$9:$D$314,4,FALSE)*$N$326,0)</f>
        <v>-114012</v>
      </c>
      <c r="O161" s="220">
        <f>ROUND(VLOOKUP($A161,'Contribution Allocation_Report'!$A$9:$D$314,4,FALSE)*$O$326,0)</f>
        <v>49079</v>
      </c>
      <c r="Q161" s="220">
        <f>+VLOOKUP(A161,'Change in Proportion Layers'!$AL$8:$AQ$322,2,FALSE)+K161</f>
        <v>-824834</v>
      </c>
      <c r="R161" s="220">
        <f>+VLOOKUP(A161,'Change in Proportion Layers'!$AL$8:$AQ$322,3,FALSE)+L161</f>
        <v>-874530</v>
      </c>
      <c r="S161" s="220">
        <f>+VLOOKUP(A161,'Change in Proportion Layers'!$AL$8:$AQ$322,4,FALSE)+M161</f>
        <v>-620156</v>
      </c>
      <c r="T161" s="220">
        <f>+VLOOKUP(A161,'Change in Proportion Layers'!$AL$8:$AQ$322,5,FALSE)+N161</f>
        <v>-255091</v>
      </c>
      <c r="U161" s="220">
        <f>+VLOOKUP(A161,'Change in Proportion Layers'!$AL$8:$AQ$322,6,FALSE)+O161</f>
        <v>-8819</v>
      </c>
      <c r="W161" s="220">
        <f>('OPEB Amounts_Report'!H161-'OPEB Amounts_Report'!M161)</f>
        <v>-2583430</v>
      </c>
      <c r="X161" s="245">
        <f t="shared" si="23"/>
        <v>0</v>
      </c>
    </row>
    <row r="162" spans="1:24" s="8" customFormat="1">
      <c r="A162" s="209">
        <v>2365</v>
      </c>
      <c r="B162" s="210" t="s">
        <v>149</v>
      </c>
      <c r="C162" s="219">
        <f t="shared" si="24"/>
        <v>-177064</v>
      </c>
      <c r="D162" s="219">
        <f t="shared" si="25"/>
        <v>-185488</v>
      </c>
      <c r="E162" s="219">
        <f t="shared" si="26"/>
        <v>-129580</v>
      </c>
      <c r="F162" s="219">
        <f t="shared" si="27"/>
        <v>-57354</v>
      </c>
      <c r="G162" s="219">
        <f t="shared" si="28"/>
        <v>-1820</v>
      </c>
      <c r="I162" s="49"/>
      <c r="K162" s="220">
        <f>ROUND(VLOOKUP($A162,'Contribution Allocation_Report'!$A$9:$D$314,4,FALSE)*$K$326,0)</f>
        <v>-59128</v>
      </c>
      <c r="L162" s="220">
        <f>ROUND(VLOOKUP($A162,'Contribution Allocation_Report'!$A$9:$D$314,4,FALSE)*$L$326,0)</f>
        <v>-81094</v>
      </c>
      <c r="M162" s="220">
        <f>ROUND(VLOOKUP($A162,'Contribution Allocation_Report'!$A$9:$D$314,4,FALSE)*$M$326,0)</f>
        <v>-53022</v>
      </c>
      <c r="N162" s="220">
        <f>ROUND(VLOOKUP($A162,'Contribution Allocation_Report'!$A$9:$D$314,4,FALSE)*$N$326,0)</f>
        <v>-13562</v>
      </c>
      <c r="O162" s="220">
        <f>ROUND(VLOOKUP($A162,'Contribution Allocation_Report'!$A$9:$D$314,4,FALSE)*$O$326,0)</f>
        <v>5838</v>
      </c>
      <c r="Q162" s="220">
        <f>+VLOOKUP(A162,'Change in Proportion Layers'!$AL$8:$AQ$322,2,FALSE)+K162</f>
        <v>-177064</v>
      </c>
      <c r="R162" s="220">
        <f>+VLOOKUP(A162,'Change in Proportion Layers'!$AL$8:$AQ$322,3,FALSE)+L162</f>
        <v>-185488</v>
      </c>
      <c r="S162" s="220">
        <f>+VLOOKUP(A162,'Change in Proportion Layers'!$AL$8:$AQ$322,4,FALSE)+M162</f>
        <v>-129580</v>
      </c>
      <c r="T162" s="220">
        <f>+VLOOKUP(A162,'Change in Proportion Layers'!$AL$8:$AQ$322,5,FALSE)+N162</f>
        <v>-57354</v>
      </c>
      <c r="U162" s="220">
        <f>+VLOOKUP(A162,'Change in Proportion Layers'!$AL$8:$AQ$322,6,FALSE)+O162</f>
        <v>-1820</v>
      </c>
      <c r="W162" s="220">
        <f>('OPEB Amounts_Report'!H162-'OPEB Amounts_Report'!M162)</f>
        <v>-551306</v>
      </c>
      <c r="X162" s="245">
        <f t="shared" si="23"/>
        <v>0</v>
      </c>
    </row>
    <row r="163" spans="1:24" s="8" customFormat="1">
      <c r="A163" s="211">
        <v>5014</v>
      </c>
      <c r="B163" s="212" t="s">
        <v>150</v>
      </c>
      <c r="C163" s="46">
        <f t="shared" si="24"/>
        <v>-110327</v>
      </c>
      <c r="D163" s="46">
        <f t="shared" si="25"/>
        <v>-157623</v>
      </c>
      <c r="E163" s="46">
        <f t="shared" si="26"/>
        <v>-101163</v>
      </c>
      <c r="F163" s="46">
        <f t="shared" si="27"/>
        <v>-36923</v>
      </c>
      <c r="G163" s="46">
        <f t="shared" si="28"/>
        <v>2691</v>
      </c>
      <c r="I163" s="49"/>
      <c r="K163" s="220">
        <f>ROUND(VLOOKUP($A163,'Contribution Allocation_Report'!$A$9:$D$314,4,FALSE)*$K$326,0)</f>
        <v>-107275</v>
      </c>
      <c r="L163" s="220">
        <f>ROUND(VLOOKUP($A163,'Contribution Allocation_Report'!$A$9:$D$314,4,FALSE)*$L$326,0)</f>
        <v>-147128</v>
      </c>
      <c r="M163" s="220">
        <f>ROUND(VLOOKUP($A163,'Contribution Allocation_Report'!$A$9:$D$314,4,FALSE)*$M$326,0)</f>
        <v>-96197</v>
      </c>
      <c r="N163" s="220">
        <f>ROUND(VLOOKUP($A163,'Contribution Allocation_Report'!$A$9:$D$314,4,FALSE)*$N$326,0)</f>
        <v>-24606</v>
      </c>
      <c r="O163" s="220">
        <f>ROUND(VLOOKUP($A163,'Contribution Allocation_Report'!$A$9:$D$314,4,FALSE)*$O$326,0)</f>
        <v>10592</v>
      </c>
      <c r="Q163" s="220">
        <f>+VLOOKUP(A163,'Change in Proportion Layers'!$AL$8:$AQ$322,2,FALSE)+K163</f>
        <v>-110327</v>
      </c>
      <c r="R163" s="220">
        <f>+VLOOKUP(A163,'Change in Proportion Layers'!$AL$8:$AQ$322,3,FALSE)+L163</f>
        <v>-157623</v>
      </c>
      <c r="S163" s="220">
        <f>+VLOOKUP(A163,'Change in Proportion Layers'!$AL$8:$AQ$322,4,FALSE)+M163</f>
        <v>-101163</v>
      </c>
      <c r="T163" s="220">
        <f>+VLOOKUP(A163,'Change in Proportion Layers'!$AL$8:$AQ$322,5,FALSE)+N163</f>
        <v>-36923</v>
      </c>
      <c r="U163" s="220">
        <f>+VLOOKUP(A163,'Change in Proportion Layers'!$AL$8:$AQ$322,6,FALSE)+O163</f>
        <v>2691</v>
      </c>
      <c r="W163" s="220">
        <f>('OPEB Amounts_Report'!H163-'OPEB Amounts_Report'!M163)</f>
        <v>-403345</v>
      </c>
      <c r="X163" s="245">
        <f t="shared" si="23"/>
        <v>0</v>
      </c>
    </row>
    <row r="164" spans="1:24" s="8" customFormat="1">
      <c r="A164" s="209">
        <v>17127</v>
      </c>
      <c r="B164" s="210" t="s">
        <v>151</v>
      </c>
      <c r="C164" s="219">
        <f t="shared" si="24"/>
        <v>-32895</v>
      </c>
      <c r="D164" s="219">
        <f t="shared" si="25"/>
        <v>-188742</v>
      </c>
      <c r="E164" s="219">
        <f t="shared" si="26"/>
        <v>-96649</v>
      </c>
      <c r="F164" s="219">
        <f t="shared" si="27"/>
        <v>-22410</v>
      </c>
      <c r="G164" s="219">
        <f t="shared" si="28"/>
        <v>284</v>
      </c>
      <c r="I164" s="49"/>
      <c r="K164" s="220">
        <f>ROUND(VLOOKUP($A164,'Contribution Allocation_Report'!$A$9:$D$314,4,FALSE)*$K$326,0)</f>
        <v>-121293</v>
      </c>
      <c r="L164" s="220">
        <f>ROUND(VLOOKUP($A164,'Contribution Allocation_Report'!$A$9:$D$314,4,FALSE)*$L$326,0)</f>
        <v>-166353</v>
      </c>
      <c r="M164" s="220">
        <f>ROUND(VLOOKUP($A164,'Contribution Allocation_Report'!$A$9:$D$314,4,FALSE)*$M$326,0)</f>
        <v>-108767</v>
      </c>
      <c r="N164" s="220">
        <f>ROUND(VLOOKUP($A164,'Contribution Allocation_Report'!$A$9:$D$314,4,FALSE)*$N$326,0)</f>
        <v>-27821</v>
      </c>
      <c r="O164" s="220">
        <f>ROUND(VLOOKUP($A164,'Contribution Allocation_Report'!$A$9:$D$314,4,FALSE)*$O$326,0)</f>
        <v>11976</v>
      </c>
      <c r="Q164" s="220">
        <f>+VLOOKUP(A164,'Change in Proportion Layers'!$AL$8:$AQ$322,2,FALSE)+K164</f>
        <v>-32895</v>
      </c>
      <c r="R164" s="220">
        <f>+VLOOKUP(A164,'Change in Proportion Layers'!$AL$8:$AQ$322,3,FALSE)+L164</f>
        <v>-188742</v>
      </c>
      <c r="S164" s="220">
        <f>+VLOOKUP(A164,'Change in Proportion Layers'!$AL$8:$AQ$322,4,FALSE)+M164</f>
        <v>-96649</v>
      </c>
      <c r="T164" s="220">
        <f>+VLOOKUP(A164,'Change in Proportion Layers'!$AL$8:$AQ$322,5,FALSE)+N164</f>
        <v>-22410</v>
      </c>
      <c r="U164" s="220">
        <f>+VLOOKUP(A164,'Change in Proportion Layers'!$AL$8:$AQ$322,6,FALSE)+O164</f>
        <v>284</v>
      </c>
      <c r="W164" s="220">
        <f>('OPEB Amounts_Report'!H164-'OPEB Amounts_Report'!M164)</f>
        <v>-340412</v>
      </c>
      <c r="X164" s="245">
        <f t="shared" si="23"/>
        <v>0</v>
      </c>
    </row>
    <row r="165" spans="1:24" s="8" customFormat="1">
      <c r="A165" s="211">
        <v>10141</v>
      </c>
      <c r="B165" s="212" t="s">
        <v>152</v>
      </c>
      <c r="C165" s="46">
        <f t="shared" si="24"/>
        <v>-217001</v>
      </c>
      <c r="D165" s="46">
        <f t="shared" si="25"/>
        <v>-220403</v>
      </c>
      <c r="E165" s="46">
        <f t="shared" si="26"/>
        <v>-133865</v>
      </c>
      <c r="F165" s="46">
        <f t="shared" si="27"/>
        <v>-156726</v>
      </c>
      <c r="G165" s="46">
        <f t="shared" si="28"/>
        <v>-192010</v>
      </c>
      <c r="I165" s="49"/>
      <c r="K165" s="220">
        <f>ROUND(VLOOKUP($A165,'Contribution Allocation_Report'!$A$9:$D$314,4,FALSE)*$K$326,0)</f>
        <v>-156021</v>
      </c>
      <c r="L165" s="220">
        <f>ROUND(VLOOKUP($A165,'Contribution Allocation_Report'!$A$9:$D$314,4,FALSE)*$L$326,0)</f>
        <v>-213982</v>
      </c>
      <c r="M165" s="220">
        <f>ROUND(VLOOKUP($A165,'Contribution Allocation_Report'!$A$9:$D$314,4,FALSE)*$M$326,0)</f>
        <v>-139908</v>
      </c>
      <c r="N165" s="220">
        <f>ROUND(VLOOKUP($A165,'Contribution Allocation_Report'!$A$9:$D$314,4,FALSE)*$N$326,0)</f>
        <v>-35787</v>
      </c>
      <c r="O165" s="220">
        <f>ROUND(VLOOKUP($A165,'Contribution Allocation_Report'!$A$9:$D$314,4,FALSE)*$O$326,0)</f>
        <v>15405</v>
      </c>
      <c r="Q165" s="220">
        <f>+VLOOKUP(A165,'Change in Proportion Layers'!$AL$8:$AQ$322,2,FALSE)+K165</f>
        <v>-217001</v>
      </c>
      <c r="R165" s="220">
        <f>+VLOOKUP(A165,'Change in Proportion Layers'!$AL$8:$AQ$322,3,FALSE)+L165</f>
        <v>-220403</v>
      </c>
      <c r="S165" s="220">
        <f>+VLOOKUP(A165,'Change in Proportion Layers'!$AL$8:$AQ$322,4,FALSE)+M165</f>
        <v>-133865</v>
      </c>
      <c r="T165" s="220">
        <f>+VLOOKUP(A165,'Change in Proportion Layers'!$AL$8:$AQ$322,5,FALSE)+N165</f>
        <v>-156726</v>
      </c>
      <c r="U165" s="220">
        <f>+VLOOKUP(A165,'Change in Proportion Layers'!$AL$8:$AQ$322,6,FALSE)+O165</f>
        <v>-192010</v>
      </c>
      <c r="W165" s="220">
        <f>('OPEB Amounts_Report'!H165-'OPEB Amounts_Report'!M165)</f>
        <v>-920005</v>
      </c>
      <c r="X165" s="245">
        <f t="shared" si="23"/>
        <v>0</v>
      </c>
    </row>
    <row r="166" spans="1:24" s="8" customFormat="1">
      <c r="A166" s="209">
        <v>4570</v>
      </c>
      <c r="B166" s="210" t="s">
        <v>400</v>
      </c>
      <c r="C166" s="219">
        <f t="shared" si="24"/>
        <v>-382836</v>
      </c>
      <c r="D166" s="219">
        <f t="shared" si="25"/>
        <v>-492073</v>
      </c>
      <c r="E166" s="219">
        <f t="shared" si="26"/>
        <v>-352709</v>
      </c>
      <c r="F166" s="219">
        <f t="shared" si="27"/>
        <v>-111691</v>
      </c>
      <c r="G166" s="219">
        <f t="shared" si="28"/>
        <v>66915</v>
      </c>
      <c r="I166" s="49"/>
      <c r="K166" s="220">
        <f>ROUND(VLOOKUP($A166,'Contribution Allocation_Report'!$A$9:$D$314,4,FALSE)*$K$326,0)</f>
        <v>-423727</v>
      </c>
      <c r="L166" s="220">
        <f>ROUND(VLOOKUP($A166,'Contribution Allocation_Report'!$A$9:$D$314,4,FALSE)*$L$326,0)</f>
        <v>-581140</v>
      </c>
      <c r="M166" s="220">
        <f>ROUND(VLOOKUP($A166,'Contribution Allocation_Report'!$A$9:$D$314,4,FALSE)*$M$326,0)</f>
        <v>-379968</v>
      </c>
      <c r="N166" s="220">
        <f>ROUND(VLOOKUP($A166,'Contribution Allocation_Report'!$A$9:$D$314,4,FALSE)*$N$326,0)</f>
        <v>-97190</v>
      </c>
      <c r="O166" s="220">
        <f>ROUND(VLOOKUP($A166,'Contribution Allocation_Report'!$A$9:$D$314,4,FALSE)*$O$326,0)</f>
        <v>41838</v>
      </c>
      <c r="Q166" s="220">
        <f>+VLOOKUP(A166,'Change in Proportion Layers'!$AL$8:$AQ$322,2,FALSE)+K166</f>
        <v>-382836</v>
      </c>
      <c r="R166" s="220">
        <f>+VLOOKUP(A166,'Change in Proportion Layers'!$AL$8:$AQ$322,3,FALSE)+L166</f>
        <v>-492073</v>
      </c>
      <c r="S166" s="220">
        <f>+VLOOKUP(A166,'Change in Proportion Layers'!$AL$8:$AQ$322,4,FALSE)+M166</f>
        <v>-352709</v>
      </c>
      <c r="T166" s="220">
        <f>+VLOOKUP(A166,'Change in Proportion Layers'!$AL$8:$AQ$322,5,FALSE)+N166</f>
        <v>-111691</v>
      </c>
      <c r="U166" s="220">
        <f>+VLOOKUP(A166,'Change in Proportion Layers'!$AL$8:$AQ$322,6,FALSE)+O166+1</f>
        <v>66915</v>
      </c>
      <c r="W166" s="220">
        <f>('OPEB Amounts_Report'!H166-'OPEB Amounts_Report'!M166)</f>
        <v>-1272394</v>
      </c>
      <c r="X166" s="245">
        <f t="shared" si="23"/>
        <v>0</v>
      </c>
    </row>
    <row r="167" spans="1:24" s="8" customFormat="1">
      <c r="A167" s="211">
        <v>13369</v>
      </c>
      <c r="B167" s="212" t="s">
        <v>153</v>
      </c>
      <c r="C167" s="46">
        <f t="shared" si="24"/>
        <v>-29313</v>
      </c>
      <c r="D167" s="46">
        <f t="shared" si="25"/>
        <v>-61081</v>
      </c>
      <c r="E167" s="46">
        <f t="shared" si="26"/>
        <v>-29539</v>
      </c>
      <c r="F167" s="46">
        <f t="shared" si="27"/>
        <v>-10409</v>
      </c>
      <c r="G167" s="46">
        <f t="shared" si="28"/>
        <v>3122</v>
      </c>
      <c r="I167" s="49"/>
      <c r="K167" s="220">
        <f>ROUND(VLOOKUP($A167,'Contribution Allocation_Report'!$A$9:$D$314,4,FALSE)*$K$326,0)</f>
        <v>-39598</v>
      </c>
      <c r="L167" s="220">
        <f>ROUND(VLOOKUP($A167,'Contribution Allocation_Report'!$A$9:$D$314,4,FALSE)*$L$326,0)</f>
        <v>-54308</v>
      </c>
      <c r="M167" s="220">
        <f>ROUND(VLOOKUP($A167,'Contribution Allocation_Report'!$A$9:$D$314,4,FALSE)*$M$326,0)</f>
        <v>-35508</v>
      </c>
      <c r="N167" s="220">
        <f>ROUND(VLOOKUP($A167,'Contribution Allocation_Report'!$A$9:$D$314,4,FALSE)*$N$326,0)</f>
        <v>-9083</v>
      </c>
      <c r="O167" s="220">
        <f>ROUND(VLOOKUP($A167,'Contribution Allocation_Report'!$A$9:$D$314,4,FALSE)*$O$326,0)</f>
        <v>3910</v>
      </c>
      <c r="Q167" s="220">
        <f>+VLOOKUP(A167,'Change in Proportion Layers'!$AL$8:$AQ$322,2,FALSE)+K167</f>
        <v>-29313</v>
      </c>
      <c r="R167" s="220">
        <f>+VLOOKUP(A167,'Change in Proportion Layers'!$AL$8:$AQ$322,3,FALSE)+L167</f>
        <v>-61081</v>
      </c>
      <c r="S167" s="220">
        <f>+VLOOKUP(A167,'Change in Proportion Layers'!$AL$8:$AQ$322,4,FALSE)+M167</f>
        <v>-29539</v>
      </c>
      <c r="T167" s="220">
        <f>+VLOOKUP(A167,'Change in Proportion Layers'!$AL$8:$AQ$322,5,FALSE)+N167</f>
        <v>-10409</v>
      </c>
      <c r="U167" s="220">
        <f>+VLOOKUP(A167,'Change in Proportion Layers'!$AL$8:$AQ$322,6,FALSE)+O167-1</f>
        <v>3122</v>
      </c>
      <c r="W167" s="220">
        <f>('OPEB Amounts_Report'!H167-'OPEB Amounts_Report'!M167)</f>
        <v>-127220</v>
      </c>
      <c r="X167" s="245">
        <f t="shared" si="23"/>
        <v>0</v>
      </c>
    </row>
    <row r="168" spans="1:24" s="8" customFormat="1">
      <c r="A168" s="209">
        <v>2425</v>
      </c>
      <c r="B168" s="210" t="s">
        <v>154</v>
      </c>
      <c r="C168" s="219">
        <f t="shared" si="24"/>
        <v>423682</v>
      </c>
      <c r="D168" s="219">
        <f t="shared" si="25"/>
        <v>-74372</v>
      </c>
      <c r="E168" s="219">
        <f t="shared" si="26"/>
        <v>-58464</v>
      </c>
      <c r="F168" s="219">
        <f t="shared" si="27"/>
        <v>-151068</v>
      </c>
      <c r="G168" s="219">
        <f t="shared" si="28"/>
        <v>-194795</v>
      </c>
      <c r="I168" s="49"/>
      <c r="K168" s="220">
        <f>ROUND(VLOOKUP($A168,'Contribution Allocation_Report'!$A$9:$D$314,4,FALSE)*$K$326,0)</f>
        <v>-705111</v>
      </c>
      <c r="L168" s="220">
        <f>ROUND(VLOOKUP($A168,'Contribution Allocation_Report'!$A$9:$D$314,4,FALSE)*$L$326,0)</f>
        <v>-967057</v>
      </c>
      <c r="M168" s="220">
        <f>ROUND(VLOOKUP($A168,'Contribution Allocation_Report'!$A$9:$D$314,4,FALSE)*$M$326,0)</f>
        <v>-632293</v>
      </c>
      <c r="N168" s="220">
        <f>ROUND(VLOOKUP($A168,'Contribution Allocation_Report'!$A$9:$D$314,4,FALSE)*$N$326,0)</f>
        <v>-161732</v>
      </c>
      <c r="O168" s="220">
        <f>ROUND(VLOOKUP($A168,'Contribution Allocation_Report'!$A$9:$D$314,4,FALSE)*$O$326,0)</f>
        <v>69621</v>
      </c>
      <c r="Q168" s="220">
        <f>+VLOOKUP(A168,'Change in Proportion Layers'!$AL$8:$AQ$322,2,FALSE)+K168</f>
        <v>423682</v>
      </c>
      <c r="R168" s="220">
        <f>+VLOOKUP(A168,'Change in Proportion Layers'!$AL$8:$AQ$322,3,FALSE)+L168</f>
        <v>-74372</v>
      </c>
      <c r="S168" s="220">
        <f>+VLOOKUP(A168,'Change in Proportion Layers'!$AL$8:$AQ$322,4,FALSE)+M168</f>
        <v>-58464</v>
      </c>
      <c r="T168" s="220">
        <f>+VLOOKUP(A168,'Change in Proportion Layers'!$AL$8:$AQ$322,5,FALSE)+N168</f>
        <v>-151068</v>
      </c>
      <c r="U168" s="220">
        <f>+VLOOKUP(A168,'Change in Proportion Layers'!$AL$8:$AQ$322,6,FALSE)+O168+2</f>
        <v>-194795</v>
      </c>
      <c r="W168" s="220">
        <f>('OPEB Amounts_Report'!H168-'OPEB Amounts_Report'!M168)</f>
        <v>-55017</v>
      </c>
      <c r="X168" s="245">
        <f t="shared" si="23"/>
        <v>0</v>
      </c>
    </row>
    <row r="169" spans="1:24" s="8" customFormat="1">
      <c r="A169" s="211">
        <v>1306</v>
      </c>
      <c r="B169" s="212" t="s">
        <v>155</v>
      </c>
      <c r="C169" s="46">
        <f t="shared" si="24"/>
        <v>-111568</v>
      </c>
      <c r="D169" s="46">
        <f t="shared" si="25"/>
        <v>-169650</v>
      </c>
      <c r="E169" s="46">
        <f t="shared" si="26"/>
        <v>-133376</v>
      </c>
      <c r="F169" s="46">
        <f t="shared" si="27"/>
        <v>-76676</v>
      </c>
      <c r="G169" s="46">
        <f t="shared" si="28"/>
        <v>-598</v>
      </c>
      <c r="I169" s="49"/>
      <c r="K169" s="220">
        <f>ROUND(VLOOKUP($A169,'Contribution Allocation_Report'!$A$9:$D$314,4,FALSE)*$K$326,0)</f>
        <v>-119394</v>
      </c>
      <c r="L169" s="220">
        <f>ROUND(VLOOKUP($A169,'Contribution Allocation_Report'!$A$9:$D$314,4,FALSE)*$L$326,0)</f>
        <v>-163749</v>
      </c>
      <c r="M169" s="220">
        <f>ROUND(VLOOKUP($A169,'Contribution Allocation_Report'!$A$9:$D$314,4,FALSE)*$M$326,0)</f>
        <v>-107064</v>
      </c>
      <c r="N169" s="220">
        <f>ROUND(VLOOKUP($A169,'Contribution Allocation_Report'!$A$9:$D$314,4,FALSE)*$N$326,0)</f>
        <v>-27386</v>
      </c>
      <c r="O169" s="220">
        <f>ROUND(VLOOKUP($A169,'Contribution Allocation_Report'!$A$9:$D$314,4,FALSE)*$O$326,0)</f>
        <v>11789</v>
      </c>
      <c r="Q169" s="220">
        <f>+VLOOKUP(A169,'Change in Proportion Layers'!$AL$8:$AQ$322,2,FALSE)+K169</f>
        <v>-111568</v>
      </c>
      <c r="R169" s="220">
        <f>+VLOOKUP(A169,'Change in Proportion Layers'!$AL$8:$AQ$322,3,FALSE)+L169</f>
        <v>-169650</v>
      </c>
      <c r="S169" s="220">
        <f>+VLOOKUP(A169,'Change in Proportion Layers'!$AL$8:$AQ$322,4,FALSE)+M169</f>
        <v>-133376</v>
      </c>
      <c r="T169" s="220">
        <f>+VLOOKUP(A169,'Change in Proportion Layers'!$AL$8:$AQ$322,5,FALSE)+N169</f>
        <v>-76676</v>
      </c>
      <c r="U169" s="220">
        <f>+VLOOKUP(A169,'Change in Proportion Layers'!$AL$8:$AQ$322,6,FALSE)+O169</f>
        <v>-598</v>
      </c>
      <c r="W169" s="220">
        <f>('OPEB Amounts_Report'!H169-'OPEB Amounts_Report'!M169)</f>
        <v>-491868</v>
      </c>
      <c r="X169" s="245">
        <f t="shared" si="23"/>
        <v>0</v>
      </c>
    </row>
    <row r="170" spans="1:24" s="8" customFormat="1">
      <c r="A170" s="209">
        <v>2351</v>
      </c>
      <c r="B170" s="210" t="s">
        <v>156</v>
      </c>
      <c r="C170" s="219">
        <f t="shared" si="24"/>
        <v>-44553</v>
      </c>
      <c r="D170" s="219">
        <f t="shared" si="25"/>
        <v>-116922</v>
      </c>
      <c r="E170" s="219">
        <f t="shared" si="26"/>
        <v>-53630</v>
      </c>
      <c r="F170" s="219">
        <f t="shared" si="27"/>
        <v>-3798</v>
      </c>
      <c r="G170" s="219">
        <f t="shared" si="28"/>
        <v>3764</v>
      </c>
      <c r="I170" s="49"/>
      <c r="K170" s="220">
        <f>ROUND(VLOOKUP($A170,'Contribution Allocation_Report'!$A$9:$D$314,4,FALSE)*$K$326,0)</f>
        <v>-131193</v>
      </c>
      <c r="L170" s="220">
        <f>ROUND(VLOOKUP($A170,'Contribution Allocation_Report'!$A$9:$D$314,4,FALSE)*$L$326,0)</f>
        <v>-179931</v>
      </c>
      <c r="M170" s="220">
        <f>ROUND(VLOOKUP($A170,'Contribution Allocation_Report'!$A$9:$D$314,4,FALSE)*$M$326,0)</f>
        <v>-117645</v>
      </c>
      <c r="N170" s="220">
        <f>ROUND(VLOOKUP($A170,'Contribution Allocation_Report'!$A$9:$D$314,4,FALSE)*$N$326,0)</f>
        <v>-30092</v>
      </c>
      <c r="O170" s="220">
        <f>ROUND(VLOOKUP($A170,'Contribution Allocation_Report'!$A$9:$D$314,4,FALSE)*$O$326,0)</f>
        <v>12954</v>
      </c>
      <c r="Q170" s="220">
        <f>+VLOOKUP(A170,'Change in Proportion Layers'!$AL$8:$AQ$322,2,FALSE)+K170</f>
        <v>-44553</v>
      </c>
      <c r="R170" s="220">
        <f>+VLOOKUP(A170,'Change in Proportion Layers'!$AL$8:$AQ$322,3,FALSE)+L170</f>
        <v>-116922</v>
      </c>
      <c r="S170" s="220">
        <f>+VLOOKUP(A170,'Change in Proportion Layers'!$AL$8:$AQ$322,4,FALSE)+M170</f>
        <v>-53630</v>
      </c>
      <c r="T170" s="220">
        <f>+VLOOKUP(A170,'Change in Proportion Layers'!$AL$8:$AQ$322,5,FALSE)+N170</f>
        <v>-3798</v>
      </c>
      <c r="U170" s="220">
        <f>+VLOOKUP(A170,'Change in Proportion Layers'!$AL$8:$AQ$322,6,FALSE)+O170</f>
        <v>3764</v>
      </c>
      <c r="W170" s="220">
        <f>('OPEB Amounts_Report'!H170-'OPEB Amounts_Report'!M170)</f>
        <v>-215139</v>
      </c>
      <c r="X170" s="245">
        <f t="shared" si="23"/>
        <v>0</v>
      </c>
    </row>
    <row r="171" spans="1:24" s="8" customFormat="1">
      <c r="A171" s="211">
        <v>2334</v>
      </c>
      <c r="B171" s="212" t="s">
        <v>157</v>
      </c>
      <c r="C171" s="46">
        <f t="shared" si="24"/>
        <v>-51941</v>
      </c>
      <c r="D171" s="46">
        <f t="shared" si="25"/>
        <v>-92016</v>
      </c>
      <c r="E171" s="46">
        <f t="shared" si="26"/>
        <v>-42955</v>
      </c>
      <c r="F171" s="46">
        <f t="shared" si="27"/>
        <v>-9000</v>
      </c>
      <c r="G171" s="46">
        <f t="shared" si="28"/>
        <v>5926</v>
      </c>
      <c r="I171" s="49"/>
      <c r="K171" s="220">
        <f>ROUND(VLOOKUP($A171,'Contribution Allocation_Report'!$A$9:$D$314,4,FALSE)*$K$326,0)</f>
        <v>-91582</v>
      </c>
      <c r="L171" s="220">
        <f>ROUND(VLOOKUP($A171,'Contribution Allocation_Report'!$A$9:$D$314,4,FALSE)*$L$326,0)</f>
        <v>-125605</v>
      </c>
      <c r="M171" s="220">
        <f>ROUND(VLOOKUP($A171,'Contribution Allocation_Report'!$A$9:$D$314,4,FALSE)*$M$326,0)</f>
        <v>-82124</v>
      </c>
      <c r="N171" s="220">
        <f>ROUND(VLOOKUP($A171,'Contribution Allocation_Report'!$A$9:$D$314,4,FALSE)*$N$326,0)</f>
        <v>-21006</v>
      </c>
      <c r="O171" s="220">
        <f>ROUND(VLOOKUP($A171,'Contribution Allocation_Report'!$A$9:$D$314,4,FALSE)*$O$326,0)</f>
        <v>9043</v>
      </c>
      <c r="Q171" s="220">
        <f>+VLOOKUP(A171,'Change in Proportion Layers'!$AL$8:$AQ$322,2,FALSE)+K171</f>
        <v>-51941</v>
      </c>
      <c r="R171" s="220">
        <f>+VLOOKUP(A171,'Change in Proportion Layers'!$AL$8:$AQ$322,3,FALSE)+L171</f>
        <v>-92016</v>
      </c>
      <c r="S171" s="220">
        <f>+VLOOKUP(A171,'Change in Proportion Layers'!$AL$8:$AQ$322,4,FALSE)+M171</f>
        <v>-42955</v>
      </c>
      <c r="T171" s="220">
        <f>+VLOOKUP(A171,'Change in Proportion Layers'!$AL$8:$AQ$322,5,FALSE)+N171</f>
        <v>-9000</v>
      </c>
      <c r="U171" s="220">
        <f>+VLOOKUP(A171,'Change in Proportion Layers'!$AL$8:$AQ$322,6,FALSE)+O171</f>
        <v>5926</v>
      </c>
      <c r="W171" s="220">
        <f>('OPEB Amounts_Report'!H171-'OPEB Amounts_Report'!M171)</f>
        <v>-189986</v>
      </c>
      <c r="X171" s="245">
        <f t="shared" si="23"/>
        <v>0</v>
      </c>
    </row>
    <row r="172" spans="1:24" s="8" customFormat="1">
      <c r="A172" s="209">
        <v>30089</v>
      </c>
      <c r="B172" s="210" t="s">
        <v>158</v>
      </c>
      <c r="C172" s="219">
        <f t="shared" si="24"/>
        <v>-274516</v>
      </c>
      <c r="D172" s="219">
        <f t="shared" si="25"/>
        <v>-313352</v>
      </c>
      <c r="E172" s="219">
        <f t="shared" si="26"/>
        <v>-192126</v>
      </c>
      <c r="F172" s="219">
        <f t="shared" si="27"/>
        <v>-87097</v>
      </c>
      <c r="G172" s="219">
        <f t="shared" si="28"/>
        <v>-36307</v>
      </c>
      <c r="I172" s="49"/>
      <c r="K172" s="220">
        <f>ROUND(VLOOKUP($A172,'Contribution Allocation_Report'!$A$9:$D$314,4,FALSE)*$K$326,0)</f>
        <v>-229652</v>
      </c>
      <c r="L172" s="220">
        <f>ROUND(VLOOKUP($A172,'Contribution Allocation_Report'!$A$9:$D$314,4,FALSE)*$L$326,0)</f>
        <v>-314966</v>
      </c>
      <c r="M172" s="220">
        <f>ROUND(VLOOKUP($A172,'Contribution Allocation_Report'!$A$9:$D$314,4,FALSE)*$M$326,0)</f>
        <v>-205935</v>
      </c>
      <c r="N172" s="220">
        <f>ROUND(VLOOKUP($A172,'Contribution Allocation_Report'!$A$9:$D$314,4,FALSE)*$N$326,0)</f>
        <v>-52675</v>
      </c>
      <c r="O172" s="220">
        <f>ROUND(VLOOKUP($A172,'Contribution Allocation_Report'!$A$9:$D$314,4,FALSE)*$O$326,0)</f>
        <v>22675</v>
      </c>
      <c r="Q172" s="220">
        <f>+VLOOKUP(A172,'Change in Proportion Layers'!$AL$8:$AQ$322,2,FALSE)+K172</f>
        <v>-274516</v>
      </c>
      <c r="R172" s="220">
        <f>+VLOOKUP(A172,'Change in Proportion Layers'!$AL$8:$AQ$322,3,FALSE)+L172</f>
        <v>-313352</v>
      </c>
      <c r="S172" s="220">
        <f>+VLOOKUP(A172,'Change in Proportion Layers'!$AL$8:$AQ$322,4,FALSE)+M172</f>
        <v>-192126</v>
      </c>
      <c r="T172" s="220">
        <f>+VLOOKUP(A172,'Change in Proportion Layers'!$AL$8:$AQ$322,5,FALSE)+N172</f>
        <v>-87097</v>
      </c>
      <c r="U172" s="220">
        <f>+VLOOKUP(A172,'Change in Proportion Layers'!$AL$8:$AQ$322,6,FALSE)+O172</f>
        <v>-36307</v>
      </c>
      <c r="W172" s="220">
        <f>('OPEB Amounts_Report'!H172-'OPEB Amounts_Report'!M172)</f>
        <v>-903398</v>
      </c>
      <c r="X172" s="245">
        <f t="shared" si="23"/>
        <v>0</v>
      </c>
    </row>
    <row r="173" spans="1:24" s="8" customFormat="1">
      <c r="A173" s="211">
        <v>9324</v>
      </c>
      <c r="B173" s="212" t="s">
        <v>159</v>
      </c>
      <c r="C173" s="46">
        <f t="shared" si="24"/>
        <v>-20139</v>
      </c>
      <c r="D173" s="46">
        <f t="shared" si="25"/>
        <v>-45221</v>
      </c>
      <c r="E173" s="46">
        <f t="shared" si="26"/>
        <v>-34487</v>
      </c>
      <c r="F173" s="46">
        <f t="shared" si="27"/>
        <v>-9884</v>
      </c>
      <c r="G173" s="46">
        <f t="shared" si="28"/>
        <v>-12854</v>
      </c>
      <c r="I173" s="49"/>
      <c r="K173" s="220">
        <f>ROUND(VLOOKUP($A173,'Contribution Allocation_Report'!$A$9:$D$314,4,FALSE)*$K$326,0)</f>
        <v>-27681</v>
      </c>
      <c r="L173" s="220">
        <f>ROUND(VLOOKUP($A173,'Contribution Allocation_Report'!$A$9:$D$314,4,FALSE)*$L$326,0)</f>
        <v>-37964</v>
      </c>
      <c r="M173" s="220">
        <f>ROUND(VLOOKUP($A173,'Contribution Allocation_Report'!$A$9:$D$314,4,FALSE)*$M$326,0)</f>
        <v>-24822</v>
      </c>
      <c r="N173" s="220">
        <f>ROUND(VLOOKUP($A173,'Contribution Allocation_Report'!$A$9:$D$314,4,FALSE)*$N$326,0)</f>
        <v>-6349</v>
      </c>
      <c r="O173" s="220">
        <f>ROUND(VLOOKUP($A173,'Contribution Allocation_Report'!$A$9:$D$314,4,FALSE)*$O$326,0)</f>
        <v>2733</v>
      </c>
      <c r="Q173" s="220">
        <f>+VLOOKUP(A173,'Change in Proportion Layers'!$AL$8:$AQ$322,2,FALSE)+K173</f>
        <v>-20139</v>
      </c>
      <c r="R173" s="220">
        <f>+VLOOKUP(A173,'Change in Proportion Layers'!$AL$8:$AQ$322,3,FALSE)+L173</f>
        <v>-45221</v>
      </c>
      <c r="S173" s="220">
        <f>+VLOOKUP(A173,'Change in Proportion Layers'!$AL$8:$AQ$322,4,FALSE)+M173</f>
        <v>-34487</v>
      </c>
      <c r="T173" s="220">
        <f>+VLOOKUP(A173,'Change in Proportion Layers'!$AL$8:$AQ$322,5,FALSE)+N173</f>
        <v>-9884</v>
      </c>
      <c r="U173" s="220">
        <f>+VLOOKUP(A173,'Change in Proportion Layers'!$AL$8:$AQ$322,6,FALSE)+O173</f>
        <v>-12854</v>
      </c>
      <c r="W173" s="220">
        <f>('OPEB Amounts_Report'!H173-'OPEB Amounts_Report'!M173)</f>
        <v>-122585</v>
      </c>
      <c r="X173" s="245">
        <f t="shared" si="23"/>
        <v>0</v>
      </c>
    </row>
    <row r="174" spans="1:24" s="8" customFormat="1">
      <c r="A174" s="209">
        <v>22066</v>
      </c>
      <c r="B174" s="210" t="s">
        <v>160</v>
      </c>
      <c r="C174" s="219">
        <f t="shared" si="24"/>
        <v>-632615</v>
      </c>
      <c r="D174" s="219">
        <f t="shared" si="25"/>
        <v>-1040687</v>
      </c>
      <c r="E174" s="219">
        <f t="shared" si="26"/>
        <v>-662545</v>
      </c>
      <c r="F174" s="219">
        <f t="shared" si="27"/>
        <v>-4127</v>
      </c>
      <c r="G174" s="219">
        <f t="shared" si="28"/>
        <v>106926</v>
      </c>
      <c r="I174" s="49"/>
      <c r="K174" s="220">
        <f>ROUND(VLOOKUP($A174,'Contribution Allocation_Report'!$A$9:$D$314,4,FALSE)*$K$326,0)</f>
        <v>-977719</v>
      </c>
      <c r="L174" s="220">
        <f>ROUND(VLOOKUP($A174,'Contribution Allocation_Report'!$A$9:$D$314,4,FALSE)*$L$326,0)</f>
        <v>-1340939</v>
      </c>
      <c r="M174" s="220">
        <f>ROUND(VLOOKUP($A174,'Contribution Allocation_Report'!$A$9:$D$314,4,FALSE)*$M$326,0)</f>
        <v>-876748</v>
      </c>
      <c r="N174" s="220">
        <f>ROUND(VLOOKUP($A174,'Contribution Allocation_Report'!$A$9:$D$314,4,FALSE)*$N$326,0)</f>
        <v>-224260</v>
      </c>
      <c r="O174" s="220">
        <f>ROUND(VLOOKUP($A174,'Contribution Allocation_Report'!$A$9:$D$314,4,FALSE)*$O$326,0)</f>
        <v>96537</v>
      </c>
      <c r="Q174" s="220">
        <f>+VLOOKUP(A174,'Change in Proportion Layers'!$AL$8:$AQ$322,2,FALSE)+K174</f>
        <v>-632615</v>
      </c>
      <c r="R174" s="220">
        <f>+VLOOKUP(A174,'Change in Proportion Layers'!$AL$8:$AQ$322,3,FALSE)+L174</f>
        <v>-1040687</v>
      </c>
      <c r="S174" s="220">
        <f>+VLOOKUP(A174,'Change in Proportion Layers'!$AL$8:$AQ$322,4,FALSE)+M174</f>
        <v>-662545</v>
      </c>
      <c r="T174" s="220">
        <f>+VLOOKUP(A174,'Change in Proportion Layers'!$AL$8:$AQ$322,5,FALSE)+N174</f>
        <v>-4127</v>
      </c>
      <c r="U174" s="220">
        <f>+VLOOKUP(A174,'Change in Proportion Layers'!$AL$8:$AQ$322,6,FALSE)+O174</f>
        <v>106926</v>
      </c>
      <c r="W174" s="220">
        <f>('OPEB Amounts_Report'!H174-'OPEB Amounts_Report'!M174)</f>
        <v>-2233048</v>
      </c>
      <c r="X174" s="245">
        <f t="shared" si="23"/>
        <v>0</v>
      </c>
    </row>
    <row r="175" spans="1:24" s="8" customFormat="1">
      <c r="A175" s="211">
        <v>16356</v>
      </c>
      <c r="B175" s="212" t="s">
        <v>161</v>
      </c>
      <c r="C175" s="46">
        <f t="shared" si="24"/>
        <v>-30793</v>
      </c>
      <c r="D175" s="46">
        <f t="shared" si="25"/>
        <v>-60080</v>
      </c>
      <c r="E175" s="46">
        <f t="shared" si="26"/>
        <v>-42193</v>
      </c>
      <c r="F175" s="46">
        <f t="shared" si="27"/>
        <v>-90</v>
      </c>
      <c r="G175" s="46">
        <f t="shared" si="28"/>
        <v>8583</v>
      </c>
      <c r="I175" s="49"/>
      <c r="K175" s="220">
        <f>ROUND(VLOOKUP($A175,'Contribution Allocation_Report'!$A$9:$D$314,4,FALSE)*$K$326,0)</f>
        <v>-60553</v>
      </c>
      <c r="L175" s="220">
        <f>ROUND(VLOOKUP($A175,'Contribution Allocation_Report'!$A$9:$D$314,4,FALSE)*$L$326,0)</f>
        <v>-83049</v>
      </c>
      <c r="M175" s="220">
        <f>ROUND(VLOOKUP($A175,'Contribution Allocation_Report'!$A$9:$D$314,4,FALSE)*$M$326,0)</f>
        <v>-54300</v>
      </c>
      <c r="N175" s="220">
        <f>ROUND(VLOOKUP($A175,'Contribution Allocation_Report'!$A$9:$D$314,4,FALSE)*$N$326,0)</f>
        <v>-13889</v>
      </c>
      <c r="O175" s="220">
        <f>ROUND(VLOOKUP($A175,'Contribution Allocation_Report'!$A$9:$D$314,4,FALSE)*$O$326,0)</f>
        <v>5979</v>
      </c>
      <c r="Q175" s="220">
        <f>+VLOOKUP(A175,'Change in Proportion Layers'!$AL$8:$AQ$322,2,FALSE)+K175</f>
        <v>-30793</v>
      </c>
      <c r="R175" s="220">
        <f>+VLOOKUP(A175,'Change in Proportion Layers'!$AL$8:$AQ$322,3,FALSE)+L175</f>
        <v>-60080</v>
      </c>
      <c r="S175" s="220">
        <f>+VLOOKUP(A175,'Change in Proportion Layers'!$AL$8:$AQ$322,4,FALSE)+M175</f>
        <v>-42193</v>
      </c>
      <c r="T175" s="220">
        <f>+VLOOKUP(A175,'Change in Proportion Layers'!$AL$8:$AQ$322,5,FALSE)+N175</f>
        <v>-90</v>
      </c>
      <c r="U175" s="220">
        <f>+VLOOKUP(A175,'Change in Proportion Layers'!$AL$8:$AQ$322,6,FALSE)+O175</f>
        <v>8583</v>
      </c>
      <c r="W175" s="220">
        <f>('OPEB Amounts_Report'!H175-'OPEB Amounts_Report'!M175)</f>
        <v>-124573</v>
      </c>
      <c r="X175" s="245">
        <f t="shared" si="23"/>
        <v>0</v>
      </c>
    </row>
    <row r="176" spans="1:24" s="8" customFormat="1">
      <c r="A176" s="209">
        <v>31091</v>
      </c>
      <c r="B176" s="210" t="s">
        <v>162</v>
      </c>
      <c r="C176" s="219">
        <f t="shared" si="24"/>
        <v>-26233</v>
      </c>
      <c r="D176" s="219">
        <f t="shared" si="25"/>
        <v>-35873</v>
      </c>
      <c r="E176" s="219">
        <f t="shared" si="26"/>
        <v>-39720</v>
      </c>
      <c r="F176" s="219">
        <f t="shared" si="27"/>
        <v>436</v>
      </c>
      <c r="G176" s="219">
        <f t="shared" si="28"/>
        <v>2495</v>
      </c>
      <c r="I176" s="49"/>
      <c r="K176" s="220">
        <f>ROUND(VLOOKUP($A176,'Contribution Allocation_Report'!$A$9:$D$314,4,FALSE)*$K$326,0)</f>
        <v>-57063</v>
      </c>
      <c r="L176" s="220">
        <f>ROUND(VLOOKUP($A176,'Contribution Allocation_Report'!$A$9:$D$314,4,FALSE)*$L$326,0)</f>
        <v>-78261</v>
      </c>
      <c r="M176" s="220">
        <f>ROUND(VLOOKUP($A176,'Contribution Allocation_Report'!$A$9:$D$314,4,FALSE)*$M$326,0)</f>
        <v>-51170</v>
      </c>
      <c r="N176" s="220">
        <f>ROUND(VLOOKUP($A176,'Contribution Allocation_Report'!$A$9:$D$314,4,FALSE)*$N$326,0)</f>
        <v>-13088</v>
      </c>
      <c r="O176" s="220">
        <f>ROUND(VLOOKUP($A176,'Contribution Allocation_Report'!$A$9:$D$314,4,FALSE)*$O$326,0)</f>
        <v>5634</v>
      </c>
      <c r="Q176" s="220">
        <f>+VLOOKUP(A176,'Change in Proportion Layers'!$AL$8:$AQ$322,2,FALSE)+K176</f>
        <v>-26233</v>
      </c>
      <c r="R176" s="220">
        <f>+VLOOKUP(A176,'Change in Proportion Layers'!$AL$8:$AQ$322,3,FALSE)+L176</f>
        <v>-35873</v>
      </c>
      <c r="S176" s="220">
        <f>+VLOOKUP(A176,'Change in Proportion Layers'!$AL$8:$AQ$322,4,FALSE)+M176</f>
        <v>-39720</v>
      </c>
      <c r="T176" s="220">
        <f>+VLOOKUP(A176,'Change in Proportion Layers'!$AL$8:$AQ$322,5,FALSE)+N176</f>
        <v>436</v>
      </c>
      <c r="U176" s="220">
        <f>+VLOOKUP(A176,'Change in Proportion Layers'!$AL$8:$AQ$322,6,FALSE)+O176-1</f>
        <v>2495</v>
      </c>
      <c r="W176" s="220">
        <f>('OPEB Amounts_Report'!H176-'OPEB Amounts_Report'!M176)</f>
        <v>-98895</v>
      </c>
      <c r="X176" s="245">
        <f t="shared" si="23"/>
        <v>0</v>
      </c>
    </row>
    <row r="177" spans="1:24" s="8" customFormat="1">
      <c r="A177" s="211">
        <v>2342</v>
      </c>
      <c r="B177" s="212" t="s">
        <v>163</v>
      </c>
      <c r="C177" s="46">
        <f t="shared" si="24"/>
        <v>-20235</v>
      </c>
      <c r="D177" s="46">
        <f t="shared" si="25"/>
        <v>-64172</v>
      </c>
      <c r="E177" s="46">
        <f t="shared" si="26"/>
        <v>-57280</v>
      </c>
      <c r="F177" s="46">
        <f t="shared" si="27"/>
        <v>-14895</v>
      </c>
      <c r="G177" s="46">
        <f t="shared" si="28"/>
        <v>-10983</v>
      </c>
      <c r="I177" s="49"/>
      <c r="K177" s="220">
        <f>ROUND(VLOOKUP($A177,'Contribution Allocation_Report'!$A$9:$D$314,4,FALSE)*$K$326,0)</f>
        <v>-92334</v>
      </c>
      <c r="L177" s="220">
        <f>ROUND(VLOOKUP($A177,'Contribution Allocation_Report'!$A$9:$D$314,4,FALSE)*$L$326,0)</f>
        <v>-126636</v>
      </c>
      <c r="M177" s="220">
        <f>ROUND(VLOOKUP($A177,'Contribution Allocation_Report'!$A$9:$D$314,4,FALSE)*$M$326,0)</f>
        <v>-82799</v>
      </c>
      <c r="N177" s="220">
        <f>ROUND(VLOOKUP($A177,'Contribution Allocation_Report'!$A$9:$D$314,4,FALSE)*$N$326,0)</f>
        <v>-21179</v>
      </c>
      <c r="O177" s="220">
        <f>ROUND(VLOOKUP($A177,'Contribution Allocation_Report'!$A$9:$D$314,4,FALSE)*$O$326,0)</f>
        <v>9117</v>
      </c>
      <c r="Q177" s="220">
        <f>+VLOOKUP(A177,'Change in Proportion Layers'!$AL$8:$AQ$322,2,FALSE)+K177</f>
        <v>-20235</v>
      </c>
      <c r="R177" s="220">
        <f>+VLOOKUP(A177,'Change in Proportion Layers'!$AL$8:$AQ$322,3,FALSE)+L177</f>
        <v>-64172</v>
      </c>
      <c r="S177" s="220">
        <f>+VLOOKUP(A177,'Change in Proportion Layers'!$AL$8:$AQ$322,4,FALSE)+M177</f>
        <v>-57280</v>
      </c>
      <c r="T177" s="220">
        <f>+VLOOKUP(A177,'Change in Proportion Layers'!$AL$8:$AQ$322,5,FALSE)+N177</f>
        <v>-14895</v>
      </c>
      <c r="U177" s="220">
        <f>+VLOOKUP(A177,'Change in Proportion Layers'!$AL$8:$AQ$322,6,FALSE)+O177</f>
        <v>-10983</v>
      </c>
      <c r="W177" s="220">
        <f>('OPEB Amounts_Report'!H177-'OPEB Amounts_Report'!M177)</f>
        <v>-167565</v>
      </c>
      <c r="X177" s="245">
        <f t="shared" si="23"/>
        <v>0</v>
      </c>
    </row>
    <row r="178" spans="1:24" s="8" customFormat="1">
      <c r="A178" s="209">
        <v>22067</v>
      </c>
      <c r="B178" s="210" t="s">
        <v>164</v>
      </c>
      <c r="C178" s="219">
        <f t="shared" si="24"/>
        <v>-55916</v>
      </c>
      <c r="D178" s="219">
        <f t="shared" si="25"/>
        <v>-196500</v>
      </c>
      <c r="E178" s="219">
        <f t="shared" si="26"/>
        <v>-91138</v>
      </c>
      <c r="F178" s="219">
        <f t="shared" si="27"/>
        <v>-23388</v>
      </c>
      <c r="G178" s="219">
        <f t="shared" si="28"/>
        <v>-15546</v>
      </c>
      <c r="I178" s="49"/>
      <c r="K178" s="220">
        <f>ROUND(VLOOKUP($A178,'Contribution Allocation_Report'!$A$9:$D$314,4,FALSE)*$K$326,0)</f>
        <v>-132364</v>
      </c>
      <c r="L178" s="220">
        <f>ROUND(VLOOKUP($A178,'Contribution Allocation_Report'!$A$9:$D$314,4,FALSE)*$L$326,0)</f>
        <v>-181537</v>
      </c>
      <c r="M178" s="220">
        <f>ROUND(VLOOKUP($A178,'Contribution Allocation_Report'!$A$9:$D$314,4,FALSE)*$M$326,0)</f>
        <v>-118695</v>
      </c>
      <c r="N178" s="220">
        <f>ROUND(VLOOKUP($A178,'Contribution Allocation_Report'!$A$9:$D$314,4,FALSE)*$N$326,0)</f>
        <v>-30360</v>
      </c>
      <c r="O178" s="220">
        <f>ROUND(VLOOKUP($A178,'Contribution Allocation_Report'!$A$9:$D$314,4,FALSE)*$O$326,0)</f>
        <v>13069</v>
      </c>
      <c r="Q178" s="220">
        <f>+VLOOKUP(A178,'Change in Proportion Layers'!$AL$8:$AQ$322,2,FALSE)+K178</f>
        <v>-55916</v>
      </c>
      <c r="R178" s="220">
        <f>+VLOOKUP(A178,'Change in Proportion Layers'!$AL$8:$AQ$322,3,FALSE)+L178</f>
        <v>-196500</v>
      </c>
      <c r="S178" s="220">
        <f>+VLOOKUP(A178,'Change in Proportion Layers'!$AL$8:$AQ$322,4,FALSE)+M178</f>
        <v>-91138</v>
      </c>
      <c r="T178" s="220">
        <f>+VLOOKUP(A178,'Change in Proportion Layers'!$AL$8:$AQ$322,5,FALSE)+N178</f>
        <v>-23388</v>
      </c>
      <c r="U178" s="220">
        <f>+VLOOKUP(A178,'Change in Proportion Layers'!$AL$8:$AQ$322,6,FALSE)+O178</f>
        <v>-15546</v>
      </c>
      <c r="W178" s="220">
        <f>('OPEB Amounts_Report'!H178-'OPEB Amounts_Report'!M178)</f>
        <v>-382488</v>
      </c>
      <c r="X178" s="245">
        <f t="shared" si="23"/>
        <v>0</v>
      </c>
    </row>
    <row r="179" spans="1:24" s="8" customFormat="1">
      <c r="A179" s="211">
        <v>32112</v>
      </c>
      <c r="B179" s="212" t="s">
        <v>165</v>
      </c>
      <c r="C179" s="46">
        <f t="shared" si="24"/>
        <v>-99524</v>
      </c>
      <c r="D179" s="46">
        <f t="shared" si="25"/>
        <v>-108894</v>
      </c>
      <c r="E179" s="46">
        <f t="shared" si="26"/>
        <v>-93366</v>
      </c>
      <c r="F179" s="46">
        <f t="shared" si="27"/>
        <v>-45781</v>
      </c>
      <c r="G179" s="46">
        <f t="shared" si="28"/>
        <v>-9122</v>
      </c>
      <c r="I179" s="49"/>
      <c r="K179" s="220">
        <f>ROUND(VLOOKUP($A179,'Contribution Allocation_Report'!$A$9:$D$314,4,FALSE)*$K$326,0)</f>
        <v>-51160</v>
      </c>
      <c r="L179" s="220">
        <f>ROUND(VLOOKUP($A179,'Contribution Allocation_Report'!$A$9:$D$314,4,FALSE)*$L$326,0)</f>
        <v>-70166</v>
      </c>
      <c r="M179" s="220">
        <f>ROUND(VLOOKUP($A179,'Contribution Allocation_Report'!$A$9:$D$314,4,FALSE)*$M$326,0)</f>
        <v>-45877</v>
      </c>
      <c r="N179" s="220">
        <f>ROUND(VLOOKUP($A179,'Contribution Allocation_Report'!$A$9:$D$314,4,FALSE)*$N$326,0)</f>
        <v>-11735</v>
      </c>
      <c r="O179" s="220">
        <f>ROUND(VLOOKUP($A179,'Contribution Allocation_Report'!$A$9:$D$314,4,FALSE)*$O$326,0)</f>
        <v>5051</v>
      </c>
      <c r="Q179" s="220">
        <f>+VLOOKUP(A179,'Change in Proportion Layers'!$AL$8:$AQ$322,2,FALSE)+K179</f>
        <v>-99524</v>
      </c>
      <c r="R179" s="220">
        <f>+VLOOKUP(A179,'Change in Proportion Layers'!$AL$8:$AQ$322,3,FALSE)+L179</f>
        <v>-108894</v>
      </c>
      <c r="S179" s="220">
        <f>+VLOOKUP(A179,'Change in Proportion Layers'!$AL$8:$AQ$322,4,FALSE)+M179</f>
        <v>-93366</v>
      </c>
      <c r="T179" s="220">
        <f>+VLOOKUP(A179,'Change in Proportion Layers'!$AL$8:$AQ$322,5,FALSE)+N179</f>
        <v>-45781</v>
      </c>
      <c r="U179" s="220">
        <f>+VLOOKUP(A179,'Change in Proportion Layers'!$AL$8:$AQ$322,6,FALSE)+O179+2</f>
        <v>-9122</v>
      </c>
      <c r="W179" s="220">
        <f>('OPEB Amounts_Report'!H179-'OPEB Amounts_Report'!M179)</f>
        <v>-356687</v>
      </c>
      <c r="X179" s="245">
        <f t="shared" si="23"/>
        <v>0</v>
      </c>
    </row>
    <row r="180" spans="1:24" s="8" customFormat="1">
      <c r="A180" s="209">
        <v>2354</v>
      </c>
      <c r="B180" s="210" t="s">
        <v>166</v>
      </c>
      <c r="C180" s="219">
        <f t="shared" si="24"/>
        <v>-165933</v>
      </c>
      <c r="D180" s="219">
        <f t="shared" si="25"/>
        <v>-237253</v>
      </c>
      <c r="E180" s="219">
        <f t="shared" si="26"/>
        <v>-145642</v>
      </c>
      <c r="F180" s="219">
        <f t="shared" si="27"/>
        <v>-72135</v>
      </c>
      <c r="G180" s="219">
        <f t="shared" si="28"/>
        <v>21725</v>
      </c>
      <c r="I180" s="49"/>
      <c r="K180" s="220">
        <f>ROUND(VLOOKUP($A180,'Contribution Allocation_Report'!$A$9:$D$314,4,FALSE)*$K$326,0)</f>
        <v>-206146</v>
      </c>
      <c r="L180" s="220">
        <f>ROUND(VLOOKUP($A180,'Contribution Allocation_Report'!$A$9:$D$314,4,FALSE)*$L$326,0)</f>
        <v>-282728</v>
      </c>
      <c r="M180" s="220">
        <f>ROUND(VLOOKUP($A180,'Contribution Allocation_Report'!$A$9:$D$314,4,FALSE)*$M$326,0)</f>
        <v>-184857</v>
      </c>
      <c r="N180" s="220">
        <f>ROUND(VLOOKUP($A180,'Contribution Allocation_Report'!$A$9:$D$314,4,FALSE)*$N$326,0)</f>
        <v>-47284</v>
      </c>
      <c r="O180" s="220">
        <f>ROUND(VLOOKUP($A180,'Contribution Allocation_Report'!$A$9:$D$314,4,FALSE)*$O$326,0)</f>
        <v>20354</v>
      </c>
      <c r="Q180" s="220">
        <f>+VLOOKUP(A180,'Change in Proportion Layers'!$AL$8:$AQ$322,2,FALSE)+K180</f>
        <v>-165933</v>
      </c>
      <c r="R180" s="220">
        <f>+VLOOKUP(A180,'Change in Proportion Layers'!$AL$8:$AQ$322,3,FALSE)+L180</f>
        <v>-237253</v>
      </c>
      <c r="S180" s="220">
        <f>+VLOOKUP(A180,'Change in Proportion Layers'!$AL$8:$AQ$322,4,FALSE)+M180</f>
        <v>-145642</v>
      </c>
      <c r="T180" s="220">
        <f>+VLOOKUP(A180,'Change in Proportion Layers'!$AL$8:$AQ$322,5,FALSE)+N180</f>
        <v>-72135</v>
      </c>
      <c r="U180" s="220">
        <f>+VLOOKUP(A180,'Change in Proportion Layers'!$AL$8:$AQ$322,6,FALSE)+O180</f>
        <v>21725</v>
      </c>
      <c r="W180" s="220">
        <f>('OPEB Amounts_Report'!H180-'OPEB Amounts_Report'!M180)</f>
        <v>-599238</v>
      </c>
      <c r="X180" s="245">
        <f t="shared" si="23"/>
        <v>0</v>
      </c>
    </row>
    <row r="181" spans="1:24" s="8" customFormat="1">
      <c r="A181" s="211">
        <v>2148</v>
      </c>
      <c r="B181" s="212" t="s">
        <v>167</v>
      </c>
      <c r="C181" s="46">
        <f t="shared" si="24"/>
        <v>-88060</v>
      </c>
      <c r="D181" s="46">
        <f t="shared" si="25"/>
        <v>-100164</v>
      </c>
      <c r="E181" s="46">
        <f t="shared" si="26"/>
        <v>-70692</v>
      </c>
      <c r="F181" s="46">
        <f t="shared" si="27"/>
        <v>-24107</v>
      </c>
      <c r="G181" s="46">
        <f t="shared" si="28"/>
        <v>4479</v>
      </c>
      <c r="I181" s="49"/>
      <c r="K181" s="220">
        <f>ROUND(VLOOKUP($A181,'Contribution Allocation_Report'!$A$9:$D$314,4,FALSE)*$K$326,0)</f>
        <v>-60453</v>
      </c>
      <c r="L181" s="220">
        <f>ROUND(VLOOKUP($A181,'Contribution Allocation_Report'!$A$9:$D$314,4,FALSE)*$L$326,0)</f>
        <v>-82910</v>
      </c>
      <c r="M181" s="220">
        <f>ROUND(VLOOKUP($A181,'Contribution Allocation_Report'!$A$9:$D$314,4,FALSE)*$M$326,0)</f>
        <v>-54209</v>
      </c>
      <c r="N181" s="220">
        <f>ROUND(VLOOKUP($A181,'Contribution Allocation_Report'!$A$9:$D$314,4,FALSE)*$N$326,0)</f>
        <v>-13866</v>
      </c>
      <c r="O181" s="220">
        <f>ROUND(VLOOKUP($A181,'Contribution Allocation_Report'!$A$9:$D$314,4,FALSE)*$O$326,0)</f>
        <v>5969</v>
      </c>
      <c r="Q181" s="220">
        <f>+VLOOKUP(A181,'Change in Proportion Layers'!$AL$8:$AQ$322,2,FALSE)+K181</f>
        <v>-88060</v>
      </c>
      <c r="R181" s="220">
        <f>+VLOOKUP(A181,'Change in Proportion Layers'!$AL$8:$AQ$322,3,FALSE)+L181</f>
        <v>-100164</v>
      </c>
      <c r="S181" s="220">
        <f>+VLOOKUP(A181,'Change in Proportion Layers'!$AL$8:$AQ$322,4,FALSE)+M181</f>
        <v>-70692</v>
      </c>
      <c r="T181" s="220">
        <f>+VLOOKUP(A181,'Change in Proportion Layers'!$AL$8:$AQ$322,5,FALSE)+N181</f>
        <v>-24107</v>
      </c>
      <c r="U181" s="220">
        <f>+VLOOKUP(A181,'Change in Proportion Layers'!$AL$8:$AQ$322,6,FALSE)+O181</f>
        <v>4479</v>
      </c>
      <c r="W181" s="220">
        <f>('OPEB Amounts_Report'!H181-'OPEB Amounts_Report'!M181)</f>
        <v>-278544</v>
      </c>
      <c r="X181" s="245">
        <f t="shared" si="23"/>
        <v>0</v>
      </c>
    </row>
    <row r="182" spans="1:24" s="8" customFormat="1">
      <c r="A182" s="209">
        <v>1418</v>
      </c>
      <c r="B182" s="210" t="s">
        <v>168</v>
      </c>
      <c r="C182" s="219">
        <f t="shared" si="24"/>
        <v>89409</v>
      </c>
      <c r="D182" s="219">
        <f t="shared" si="25"/>
        <v>-131020</v>
      </c>
      <c r="E182" s="219">
        <f t="shared" si="26"/>
        <v>-209232</v>
      </c>
      <c r="F182" s="219">
        <f t="shared" si="27"/>
        <v>-57136</v>
      </c>
      <c r="G182" s="219">
        <f t="shared" si="28"/>
        <v>21062</v>
      </c>
      <c r="I182" s="49"/>
      <c r="K182" s="220">
        <f>ROUND(VLOOKUP($A182,'Contribution Allocation_Report'!$A$9:$D$314,4,FALSE)*$K$326,0)</f>
        <v>-276917</v>
      </c>
      <c r="L182" s="220">
        <f>ROUND(VLOOKUP($A182,'Contribution Allocation_Report'!$A$9:$D$314,4,FALSE)*$L$326,0)</f>
        <v>-379791</v>
      </c>
      <c r="M182" s="220">
        <f>ROUND(VLOOKUP($A182,'Contribution Allocation_Report'!$A$9:$D$314,4,FALSE)*$M$326,0)</f>
        <v>-248320</v>
      </c>
      <c r="N182" s="220">
        <f>ROUND(VLOOKUP($A182,'Contribution Allocation_Report'!$A$9:$D$314,4,FALSE)*$N$326,0)</f>
        <v>-63517</v>
      </c>
      <c r="O182" s="220">
        <f>ROUND(VLOOKUP($A182,'Contribution Allocation_Report'!$A$9:$D$314,4,FALSE)*$O$326,0)</f>
        <v>27342</v>
      </c>
      <c r="Q182" s="220">
        <f>+VLOOKUP(A182,'Change in Proportion Layers'!$AL$8:$AQ$322,2,FALSE)+K182</f>
        <v>89409</v>
      </c>
      <c r="R182" s="220">
        <f>+VLOOKUP(A182,'Change in Proportion Layers'!$AL$8:$AQ$322,3,FALSE)+L182</f>
        <v>-131020</v>
      </c>
      <c r="S182" s="220">
        <f>+VLOOKUP(A182,'Change in Proportion Layers'!$AL$8:$AQ$322,4,FALSE)+M182</f>
        <v>-209232</v>
      </c>
      <c r="T182" s="220">
        <f>+VLOOKUP(A182,'Change in Proportion Layers'!$AL$8:$AQ$322,5,FALSE)+N182</f>
        <v>-57136</v>
      </c>
      <c r="U182" s="220">
        <f>+VLOOKUP(A182,'Change in Proportion Layers'!$AL$8:$AQ$322,6,FALSE)+O182+1</f>
        <v>21062</v>
      </c>
      <c r="W182" s="220">
        <f>('OPEB Amounts_Report'!H182-'OPEB Amounts_Report'!M182)</f>
        <v>-286917</v>
      </c>
      <c r="X182" s="245">
        <f t="shared" si="23"/>
        <v>0</v>
      </c>
    </row>
    <row r="183" spans="1:24" s="8" customFormat="1">
      <c r="A183" s="211">
        <v>12102</v>
      </c>
      <c r="B183" s="212" t="s">
        <v>169</v>
      </c>
      <c r="C183" s="46">
        <f t="shared" si="24"/>
        <v>-1515972</v>
      </c>
      <c r="D183" s="46">
        <f t="shared" si="25"/>
        <v>-1737398</v>
      </c>
      <c r="E183" s="46">
        <f t="shared" si="26"/>
        <v>-1395995</v>
      </c>
      <c r="F183" s="46">
        <f t="shared" si="27"/>
        <v>-613862</v>
      </c>
      <c r="G183" s="46">
        <f t="shared" si="28"/>
        <v>-163003</v>
      </c>
      <c r="I183" s="49"/>
      <c r="K183" s="220">
        <f>ROUND(VLOOKUP($A183,'Contribution Allocation_Report'!$A$9:$D$314,4,FALSE)*$K$326,0)</f>
        <v>-1384012</v>
      </c>
      <c r="L183" s="220">
        <f>ROUND(VLOOKUP($A183,'Contribution Allocation_Report'!$A$9:$D$314,4,FALSE)*$L$326,0)</f>
        <v>-1898168</v>
      </c>
      <c r="M183" s="220">
        <f>ROUND(VLOOKUP($A183,'Contribution Allocation_Report'!$A$9:$D$314,4,FALSE)*$M$326,0)</f>
        <v>-1241083</v>
      </c>
      <c r="N183" s="220">
        <f>ROUND(VLOOKUP($A183,'Contribution Allocation_Report'!$A$9:$D$314,4,FALSE)*$N$326,0)</f>
        <v>-317451</v>
      </c>
      <c r="O183" s="220">
        <f>ROUND(VLOOKUP($A183,'Contribution Allocation_Report'!$A$9:$D$314,4,FALSE)*$O$326,0)</f>
        <v>136653</v>
      </c>
      <c r="Q183" s="220">
        <f>+VLOOKUP(A183,'Change in Proportion Layers'!$AL$8:$AQ$322,2,FALSE)+K183</f>
        <v>-1515972</v>
      </c>
      <c r="R183" s="220">
        <f>+VLOOKUP(A183,'Change in Proportion Layers'!$AL$8:$AQ$322,3,FALSE)+L183</f>
        <v>-1737398</v>
      </c>
      <c r="S183" s="220">
        <f>+VLOOKUP(A183,'Change in Proportion Layers'!$AL$8:$AQ$322,4,FALSE)+M183</f>
        <v>-1395995</v>
      </c>
      <c r="T183" s="220">
        <f>+VLOOKUP(A183,'Change in Proportion Layers'!$AL$8:$AQ$322,5,FALSE)+N183</f>
        <v>-613862</v>
      </c>
      <c r="U183" s="220">
        <f>+VLOOKUP(A183,'Change in Proportion Layers'!$AL$8:$AQ$322,6,FALSE)+O183</f>
        <v>-163003</v>
      </c>
      <c r="W183" s="220">
        <f>('OPEB Amounts_Report'!H183-'OPEB Amounts_Report'!M183)</f>
        <v>-5426230</v>
      </c>
      <c r="X183" s="245">
        <f t="shared" si="23"/>
        <v>0</v>
      </c>
    </row>
    <row r="184" spans="1:24" s="8" customFormat="1">
      <c r="A184" s="209">
        <v>2414</v>
      </c>
      <c r="B184" s="210" t="s">
        <v>170</v>
      </c>
      <c r="C184" s="219">
        <f t="shared" si="24"/>
        <v>73064</v>
      </c>
      <c r="D184" s="219">
        <f t="shared" si="25"/>
        <v>-79758</v>
      </c>
      <c r="E184" s="219">
        <f t="shared" si="26"/>
        <v>-57453</v>
      </c>
      <c r="F184" s="219">
        <f t="shared" si="27"/>
        <v>-11492</v>
      </c>
      <c r="G184" s="219">
        <f t="shared" si="28"/>
        <v>741</v>
      </c>
      <c r="I184" s="49"/>
      <c r="K184" s="220">
        <f>ROUND(VLOOKUP($A184,'Contribution Allocation_Report'!$A$9:$D$314,4,FALSE)*$K$326,0)</f>
        <v>-139889</v>
      </c>
      <c r="L184" s="220">
        <f>ROUND(VLOOKUP($A184,'Contribution Allocation_Report'!$A$9:$D$314,4,FALSE)*$L$326,0)</f>
        <v>-191858</v>
      </c>
      <c r="M184" s="220">
        <f>ROUND(VLOOKUP($A184,'Contribution Allocation_Report'!$A$9:$D$314,4,FALSE)*$M$326,0)</f>
        <v>-125443</v>
      </c>
      <c r="N184" s="220">
        <f>ROUND(VLOOKUP($A184,'Contribution Allocation_Report'!$A$9:$D$314,4,FALSE)*$N$326,0)</f>
        <v>-32086</v>
      </c>
      <c r="O184" s="220">
        <f>ROUND(VLOOKUP($A184,'Contribution Allocation_Report'!$A$9:$D$314,4,FALSE)*$O$326,0)</f>
        <v>13812</v>
      </c>
      <c r="Q184" s="220">
        <f>+VLOOKUP(A184,'Change in Proportion Layers'!$AL$8:$AQ$322,2,FALSE)+K184</f>
        <v>73064</v>
      </c>
      <c r="R184" s="220">
        <f>+VLOOKUP(A184,'Change in Proportion Layers'!$AL$8:$AQ$322,3,FALSE)+L184</f>
        <v>-79758</v>
      </c>
      <c r="S184" s="220">
        <f>+VLOOKUP(A184,'Change in Proportion Layers'!$AL$8:$AQ$322,4,FALSE)+M184</f>
        <v>-57453</v>
      </c>
      <c r="T184" s="220">
        <f>+VLOOKUP(A184,'Change in Proportion Layers'!$AL$8:$AQ$322,5,FALSE)+N184</f>
        <v>-11492</v>
      </c>
      <c r="U184" s="220">
        <f>+VLOOKUP(A184,'Change in Proportion Layers'!$AL$8:$AQ$322,6,FALSE)+O184+1</f>
        <v>741</v>
      </c>
      <c r="W184" s="220">
        <f>('OPEB Amounts_Report'!H184-'OPEB Amounts_Report'!M184)</f>
        <v>-74898</v>
      </c>
      <c r="X184" s="245">
        <f t="shared" si="23"/>
        <v>0</v>
      </c>
    </row>
    <row r="185" spans="1:24" s="8" customFormat="1">
      <c r="A185" s="211">
        <v>6124</v>
      </c>
      <c r="B185" s="212" t="s">
        <v>171</v>
      </c>
      <c r="C185" s="46">
        <f t="shared" si="24"/>
        <v>-847562</v>
      </c>
      <c r="D185" s="46">
        <f t="shared" si="25"/>
        <v>-1004966</v>
      </c>
      <c r="E185" s="46">
        <f t="shared" si="26"/>
        <v>-475450</v>
      </c>
      <c r="F185" s="46">
        <f t="shared" si="27"/>
        <v>101031</v>
      </c>
      <c r="G185" s="46">
        <f t="shared" si="28"/>
        <v>271022</v>
      </c>
      <c r="I185" s="49"/>
      <c r="K185" s="220">
        <f>ROUND(VLOOKUP($A185,'Contribution Allocation_Report'!$A$9:$D$314,4,FALSE)*$K$326,0)</f>
        <v>-827800</v>
      </c>
      <c r="L185" s="220">
        <f>ROUND(VLOOKUP($A185,'Contribution Allocation_Report'!$A$9:$D$314,4,FALSE)*$L$326,0)</f>
        <v>-1135326</v>
      </c>
      <c r="M185" s="220">
        <f>ROUND(VLOOKUP($A185,'Contribution Allocation_Report'!$A$9:$D$314,4,FALSE)*$M$326,0)</f>
        <v>-742312</v>
      </c>
      <c r="N185" s="220">
        <f>ROUND(VLOOKUP($A185,'Contribution Allocation_Report'!$A$9:$D$314,4,FALSE)*$N$326,0)</f>
        <v>-189873</v>
      </c>
      <c r="O185" s="220">
        <f>ROUND(VLOOKUP($A185,'Contribution Allocation_Report'!$A$9:$D$314,4,FALSE)*$O$326,0)</f>
        <v>81735</v>
      </c>
      <c r="Q185" s="220">
        <f>+VLOOKUP(A185,'Change in Proportion Layers'!$AL$8:$AQ$322,2,FALSE)+K185</f>
        <v>-847562</v>
      </c>
      <c r="R185" s="220">
        <f>+VLOOKUP(A185,'Change in Proportion Layers'!$AL$8:$AQ$322,3,FALSE)+L185</f>
        <v>-1004966</v>
      </c>
      <c r="S185" s="220">
        <f>+VLOOKUP(A185,'Change in Proportion Layers'!$AL$8:$AQ$322,4,FALSE)+M185</f>
        <v>-475450</v>
      </c>
      <c r="T185" s="220">
        <f>+VLOOKUP(A185,'Change in Proportion Layers'!$AL$8:$AQ$322,5,FALSE)+N185</f>
        <v>101031</v>
      </c>
      <c r="U185" s="220">
        <f>+VLOOKUP(A185,'Change in Proportion Layers'!$AL$8:$AQ$322,6,FALSE)+O185-1</f>
        <v>271022</v>
      </c>
      <c r="W185" s="220">
        <f>('OPEB Amounts_Report'!H185-'OPEB Amounts_Report'!M185)</f>
        <v>-1955925</v>
      </c>
      <c r="X185" s="245">
        <f t="shared" si="23"/>
        <v>0</v>
      </c>
    </row>
    <row r="186" spans="1:24" s="8" customFormat="1">
      <c r="A186" s="209">
        <v>4097</v>
      </c>
      <c r="B186" s="210" t="s">
        <v>172</v>
      </c>
      <c r="C186" s="219">
        <f t="shared" si="24"/>
        <v>-1032606</v>
      </c>
      <c r="D186" s="219">
        <f t="shared" si="25"/>
        <v>-1167248</v>
      </c>
      <c r="E186" s="219">
        <f t="shared" si="26"/>
        <v>-764967</v>
      </c>
      <c r="F186" s="219">
        <f t="shared" si="27"/>
        <v>-223061</v>
      </c>
      <c r="G186" s="219">
        <f t="shared" si="28"/>
        <v>27998</v>
      </c>
      <c r="I186" s="49"/>
      <c r="K186" s="220">
        <f>ROUND(VLOOKUP($A186,'Contribution Allocation_Report'!$A$9:$D$314,4,FALSE)*$K$326,0)</f>
        <v>-797221</v>
      </c>
      <c r="L186" s="220">
        <f>ROUND(VLOOKUP($A186,'Contribution Allocation_Report'!$A$9:$D$314,4,FALSE)*$L$326,0)</f>
        <v>-1093386</v>
      </c>
      <c r="M186" s="220">
        <f>ROUND(VLOOKUP($A186,'Contribution Allocation_Report'!$A$9:$D$314,4,FALSE)*$M$326,0)</f>
        <v>-714891</v>
      </c>
      <c r="N186" s="220">
        <f>ROUND(VLOOKUP($A186,'Contribution Allocation_Report'!$A$9:$D$314,4,FALSE)*$N$326,0)</f>
        <v>-182859</v>
      </c>
      <c r="O186" s="220">
        <f>ROUND(VLOOKUP($A186,'Contribution Allocation_Report'!$A$9:$D$314,4,FALSE)*$O$326,0)</f>
        <v>78715</v>
      </c>
      <c r="Q186" s="220">
        <f>+VLOOKUP(A186,'Change in Proportion Layers'!$AL$8:$AQ$322,2,FALSE)+K186</f>
        <v>-1032606</v>
      </c>
      <c r="R186" s="220">
        <f>+VLOOKUP(A186,'Change in Proportion Layers'!$AL$8:$AQ$322,3,FALSE)+L186</f>
        <v>-1167248</v>
      </c>
      <c r="S186" s="220">
        <f>+VLOOKUP(A186,'Change in Proportion Layers'!$AL$8:$AQ$322,4,FALSE)+M186</f>
        <v>-764967</v>
      </c>
      <c r="T186" s="220">
        <f>+VLOOKUP(A186,'Change in Proportion Layers'!$AL$8:$AQ$322,5,FALSE)+N186</f>
        <v>-223061</v>
      </c>
      <c r="U186" s="220">
        <f>+VLOOKUP(A186,'Change in Proportion Layers'!$AL$8:$AQ$322,6,FALSE)+O186</f>
        <v>27998</v>
      </c>
      <c r="W186" s="220">
        <f>('OPEB Amounts_Report'!H186-'OPEB Amounts_Report'!M186)</f>
        <v>-3159884</v>
      </c>
      <c r="X186" s="245">
        <f t="shared" si="23"/>
        <v>0</v>
      </c>
    </row>
    <row r="187" spans="1:24" s="8" customFormat="1">
      <c r="A187" s="211">
        <v>1416</v>
      </c>
      <c r="B187" s="212" t="s">
        <v>173</v>
      </c>
      <c r="C187" s="46">
        <f t="shared" si="24"/>
        <v>-46342</v>
      </c>
      <c r="D187" s="46">
        <f t="shared" si="25"/>
        <v>-95407</v>
      </c>
      <c r="E187" s="46">
        <f t="shared" si="26"/>
        <v>-65865</v>
      </c>
      <c r="F187" s="46">
        <f t="shared" si="27"/>
        <v>182</v>
      </c>
      <c r="G187" s="46">
        <f t="shared" si="28"/>
        <v>20903</v>
      </c>
      <c r="I187" s="49"/>
      <c r="K187" s="220">
        <f>ROUND(VLOOKUP($A187,'Contribution Allocation_Report'!$A$9:$D$314,4,FALSE)*$K$326,0)</f>
        <v>-120212</v>
      </c>
      <c r="L187" s="220">
        <f>ROUND(VLOOKUP($A187,'Contribution Allocation_Report'!$A$9:$D$314,4,FALSE)*$L$326,0)</f>
        <v>-164871</v>
      </c>
      <c r="M187" s="220">
        <f>ROUND(VLOOKUP($A187,'Contribution Allocation_Report'!$A$9:$D$314,4,FALSE)*$M$326,0)</f>
        <v>-107798</v>
      </c>
      <c r="N187" s="220">
        <f>ROUND(VLOOKUP($A187,'Contribution Allocation_Report'!$A$9:$D$314,4,FALSE)*$N$326,0)</f>
        <v>-27573</v>
      </c>
      <c r="O187" s="220">
        <f>ROUND(VLOOKUP($A187,'Contribution Allocation_Report'!$A$9:$D$314,4,FALSE)*$O$326,0)</f>
        <v>11869</v>
      </c>
      <c r="Q187" s="220">
        <f>+VLOOKUP(A187,'Change in Proportion Layers'!$AL$8:$AQ$322,2,FALSE)+K187</f>
        <v>-46342</v>
      </c>
      <c r="R187" s="220">
        <f>+VLOOKUP(A187,'Change in Proportion Layers'!$AL$8:$AQ$322,3,FALSE)+L187</f>
        <v>-95407</v>
      </c>
      <c r="S187" s="220">
        <f>+VLOOKUP(A187,'Change in Proportion Layers'!$AL$8:$AQ$322,4,FALSE)+M187</f>
        <v>-65865</v>
      </c>
      <c r="T187" s="220">
        <f>+VLOOKUP(A187,'Change in Proportion Layers'!$AL$8:$AQ$322,5,FALSE)+N187</f>
        <v>182</v>
      </c>
      <c r="U187" s="220">
        <f>+VLOOKUP(A187,'Change in Proportion Layers'!$AL$8:$AQ$322,6,FALSE)+O187+1</f>
        <v>20903</v>
      </c>
      <c r="W187" s="220">
        <f>('OPEB Amounts_Report'!H187-'OPEB Amounts_Report'!M187)</f>
        <v>-186529</v>
      </c>
      <c r="X187" s="245">
        <f t="shared" si="23"/>
        <v>0</v>
      </c>
    </row>
    <row r="188" spans="1:24" s="8" customFormat="1">
      <c r="A188" s="209">
        <v>1094</v>
      </c>
      <c r="B188" s="210" t="s">
        <v>174</v>
      </c>
      <c r="C188" s="219">
        <f t="shared" si="24"/>
        <v>-815990</v>
      </c>
      <c r="D188" s="219">
        <f t="shared" si="25"/>
        <v>-1038813</v>
      </c>
      <c r="E188" s="219">
        <f t="shared" si="26"/>
        <v>-669410</v>
      </c>
      <c r="F188" s="219">
        <f t="shared" si="27"/>
        <v>-209296</v>
      </c>
      <c r="G188" s="219">
        <f t="shared" si="28"/>
        <v>40942</v>
      </c>
      <c r="I188" s="49"/>
      <c r="K188" s="220">
        <f>ROUND(VLOOKUP($A188,'Contribution Allocation_Report'!$A$9:$D$314,4,FALSE)*$K$326,0)</f>
        <v>-531732</v>
      </c>
      <c r="L188" s="220">
        <f>ROUND(VLOOKUP($A188,'Contribution Allocation_Report'!$A$9:$D$314,4,FALSE)*$L$326,0)</f>
        <v>-729269</v>
      </c>
      <c r="M188" s="220">
        <f>ROUND(VLOOKUP($A188,'Contribution Allocation_Report'!$A$9:$D$314,4,FALSE)*$M$326,0)</f>
        <v>-476819</v>
      </c>
      <c r="N188" s="220">
        <f>ROUND(VLOOKUP($A188,'Contribution Allocation_Report'!$A$9:$D$314,4,FALSE)*$N$326,0)</f>
        <v>-121964</v>
      </c>
      <c r="O188" s="220">
        <f>ROUND(VLOOKUP($A188,'Contribution Allocation_Report'!$A$9:$D$314,4,FALSE)*$O$326,0)</f>
        <v>52502</v>
      </c>
      <c r="Q188" s="220">
        <f>+VLOOKUP(A188,'Change in Proportion Layers'!$AL$8:$AQ$322,2,FALSE)+K188</f>
        <v>-815990</v>
      </c>
      <c r="R188" s="220">
        <f>+VLOOKUP(A188,'Change in Proportion Layers'!$AL$8:$AQ$322,3,FALSE)+L188</f>
        <v>-1038813</v>
      </c>
      <c r="S188" s="220">
        <f>+VLOOKUP(A188,'Change in Proportion Layers'!$AL$8:$AQ$322,4,FALSE)+M188</f>
        <v>-669410</v>
      </c>
      <c r="T188" s="220">
        <f>+VLOOKUP(A188,'Change in Proportion Layers'!$AL$8:$AQ$322,5,FALSE)+N188</f>
        <v>-209296</v>
      </c>
      <c r="U188" s="220">
        <f>+VLOOKUP(A188,'Change in Proportion Layers'!$AL$8:$AQ$322,6,FALSE)+O188-2</f>
        <v>40942</v>
      </c>
      <c r="W188" s="220">
        <f>('OPEB Amounts_Report'!H188-'OPEB Amounts_Report'!M188)</f>
        <v>-2692567</v>
      </c>
      <c r="X188" s="245">
        <f t="shared" si="23"/>
        <v>0</v>
      </c>
    </row>
    <row r="189" spans="1:24" s="8" customFormat="1">
      <c r="A189" s="211">
        <v>32111</v>
      </c>
      <c r="B189" s="212" t="s">
        <v>175</v>
      </c>
      <c r="C189" s="46">
        <f t="shared" si="24"/>
        <v>-653118</v>
      </c>
      <c r="D189" s="46">
        <f t="shared" si="25"/>
        <v>-835001</v>
      </c>
      <c r="E189" s="46">
        <f t="shared" si="26"/>
        <v>-513137</v>
      </c>
      <c r="F189" s="46">
        <f t="shared" si="27"/>
        <v>-173280</v>
      </c>
      <c r="G189" s="46">
        <f t="shared" si="28"/>
        <v>18472</v>
      </c>
      <c r="I189" s="49"/>
      <c r="K189" s="220">
        <f>ROUND(VLOOKUP($A189,'Contribution Allocation_Report'!$A$9:$D$314,4,FALSE)*$K$326,0)</f>
        <v>-553302</v>
      </c>
      <c r="L189" s="220">
        <f>ROUND(VLOOKUP($A189,'Contribution Allocation_Report'!$A$9:$D$314,4,FALSE)*$L$326,0)</f>
        <v>-758852</v>
      </c>
      <c r="M189" s="220">
        <f>ROUND(VLOOKUP($A189,'Contribution Allocation_Report'!$A$9:$D$314,4,FALSE)*$M$326,0)</f>
        <v>-496161</v>
      </c>
      <c r="N189" s="220">
        <f>ROUND(VLOOKUP($A189,'Contribution Allocation_Report'!$A$9:$D$314,4,FALSE)*$N$326,0)</f>
        <v>-126911</v>
      </c>
      <c r="O189" s="220">
        <f>ROUND(VLOOKUP($A189,'Contribution Allocation_Report'!$A$9:$D$314,4,FALSE)*$O$326,0)</f>
        <v>54631</v>
      </c>
      <c r="Q189" s="220">
        <f>+VLOOKUP(A189,'Change in Proportion Layers'!$AL$8:$AQ$322,2,FALSE)+K189</f>
        <v>-653118</v>
      </c>
      <c r="R189" s="220">
        <f>+VLOOKUP(A189,'Change in Proportion Layers'!$AL$8:$AQ$322,3,FALSE)+L189</f>
        <v>-835001</v>
      </c>
      <c r="S189" s="220">
        <f>+VLOOKUP(A189,'Change in Proportion Layers'!$AL$8:$AQ$322,4,FALSE)+M189</f>
        <v>-513137</v>
      </c>
      <c r="T189" s="220">
        <f>+VLOOKUP(A189,'Change in Proportion Layers'!$AL$8:$AQ$322,5,FALSE)+N189</f>
        <v>-173280</v>
      </c>
      <c r="U189" s="220">
        <f>+VLOOKUP(A189,'Change in Proportion Layers'!$AL$8:$AQ$322,6,FALSE)+O189+1</f>
        <v>18472</v>
      </c>
      <c r="W189" s="220">
        <f>('OPEB Amounts_Report'!H189-'OPEB Amounts_Report'!M189)</f>
        <v>-2156064</v>
      </c>
      <c r="X189" s="245">
        <f t="shared" si="23"/>
        <v>0</v>
      </c>
    </row>
    <row r="190" spans="1:24" s="8" customFormat="1">
      <c r="A190" s="209">
        <v>2520</v>
      </c>
      <c r="B190" s="210" t="s">
        <v>176</v>
      </c>
      <c r="C190" s="219">
        <f t="shared" si="24"/>
        <v>-38832</v>
      </c>
      <c r="D190" s="219">
        <f t="shared" si="25"/>
        <v>-59852</v>
      </c>
      <c r="E190" s="219">
        <f t="shared" si="26"/>
        <v>-44918</v>
      </c>
      <c r="F190" s="219">
        <f t="shared" si="27"/>
        <v>-52</v>
      </c>
      <c r="G190" s="219">
        <f t="shared" si="28"/>
        <v>32140</v>
      </c>
      <c r="I190" s="49"/>
      <c r="K190" s="220">
        <f>ROUND(VLOOKUP($A190,'Contribution Allocation_Report'!$A$9:$D$314,4,FALSE)*$K$326,0)</f>
        <v>-98472</v>
      </c>
      <c r="L190" s="220">
        <f>ROUND(VLOOKUP($A190,'Contribution Allocation_Report'!$A$9:$D$314,4,FALSE)*$L$326,0)</f>
        <v>-135053</v>
      </c>
      <c r="M190" s="220">
        <f>ROUND(VLOOKUP($A190,'Contribution Allocation_Report'!$A$9:$D$314,4,FALSE)*$M$326,0)</f>
        <v>-88302</v>
      </c>
      <c r="N190" s="220">
        <f>ROUND(VLOOKUP($A190,'Contribution Allocation_Report'!$A$9:$D$314,4,FALSE)*$N$326,0)</f>
        <v>-22586</v>
      </c>
      <c r="O190" s="220">
        <f>ROUND(VLOOKUP($A190,'Contribution Allocation_Report'!$A$9:$D$314,4,FALSE)*$O$326,0)</f>
        <v>9723</v>
      </c>
      <c r="Q190" s="220">
        <f>+VLOOKUP(A190,'Change in Proportion Layers'!$AL$8:$AQ$322,2,FALSE)+K190</f>
        <v>-38832</v>
      </c>
      <c r="R190" s="220">
        <f>+VLOOKUP(A190,'Change in Proportion Layers'!$AL$8:$AQ$322,3,FALSE)+L190</f>
        <v>-59852</v>
      </c>
      <c r="S190" s="220">
        <f>+VLOOKUP(A190,'Change in Proportion Layers'!$AL$8:$AQ$322,4,FALSE)+M190</f>
        <v>-44918</v>
      </c>
      <c r="T190" s="220">
        <f>+VLOOKUP(A190,'Change in Proportion Layers'!$AL$8:$AQ$322,5,FALSE)+N190</f>
        <v>-52</v>
      </c>
      <c r="U190" s="220">
        <f>+VLOOKUP(A190,'Change in Proportion Layers'!$AL$8:$AQ$322,6,FALSE)+O190-1</f>
        <v>32140</v>
      </c>
      <c r="W190" s="220">
        <f>('OPEB Amounts_Report'!H190-'OPEB Amounts_Report'!M190)</f>
        <v>-111514</v>
      </c>
      <c r="X190" s="245">
        <f t="shared" si="23"/>
        <v>0</v>
      </c>
    </row>
    <row r="191" spans="1:24" s="8" customFormat="1">
      <c r="A191" s="211">
        <v>3450</v>
      </c>
      <c r="B191" s="212" t="s">
        <v>177</v>
      </c>
      <c r="C191" s="46">
        <f t="shared" si="24"/>
        <v>-158478</v>
      </c>
      <c r="D191" s="46">
        <f t="shared" si="25"/>
        <v>-210522</v>
      </c>
      <c r="E191" s="46">
        <f t="shared" si="26"/>
        <v>-130260</v>
      </c>
      <c r="F191" s="46">
        <f t="shared" si="27"/>
        <v>-6687</v>
      </c>
      <c r="G191" s="46">
        <f t="shared" si="28"/>
        <v>47752</v>
      </c>
      <c r="I191" s="49"/>
      <c r="K191" s="220">
        <f>ROUND(VLOOKUP($A191,'Contribution Allocation_Report'!$A$9:$D$314,4,FALSE)*$K$326,0)</f>
        <v>-172352</v>
      </c>
      <c r="L191" s="220">
        <f>ROUND(VLOOKUP($A191,'Contribution Allocation_Report'!$A$9:$D$314,4,FALSE)*$L$326,0)</f>
        <v>-236380</v>
      </c>
      <c r="M191" s="220">
        <f>ROUND(VLOOKUP($A191,'Contribution Allocation_Report'!$A$9:$D$314,4,FALSE)*$M$326,0)</f>
        <v>-154553</v>
      </c>
      <c r="N191" s="220">
        <f>ROUND(VLOOKUP($A191,'Contribution Allocation_Report'!$A$9:$D$314,4,FALSE)*$N$326,0)</f>
        <v>-39532</v>
      </c>
      <c r="O191" s="220">
        <f>ROUND(VLOOKUP($A191,'Contribution Allocation_Report'!$A$9:$D$314,4,FALSE)*$O$326,0)</f>
        <v>17018</v>
      </c>
      <c r="Q191" s="220">
        <f>+VLOOKUP(A191,'Change in Proportion Layers'!$AL$8:$AQ$322,2,FALSE)+K191</f>
        <v>-158478</v>
      </c>
      <c r="R191" s="220">
        <f>+VLOOKUP(A191,'Change in Proportion Layers'!$AL$8:$AQ$322,3,FALSE)+L191</f>
        <v>-210522</v>
      </c>
      <c r="S191" s="220">
        <f>+VLOOKUP(A191,'Change in Proportion Layers'!$AL$8:$AQ$322,4,FALSE)+M191</f>
        <v>-130260</v>
      </c>
      <c r="T191" s="220">
        <f>+VLOOKUP(A191,'Change in Proportion Layers'!$AL$8:$AQ$322,5,FALSE)+N191</f>
        <v>-6687</v>
      </c>
      <c r="U191" s="220">
        <f>+VLOOKUP(A191,'Change in Proportion Layers'!$AL$8:$AQ$322,6,FALSE)+O191-2</f>
        <v>47752</v>
      </c>
      <c r="W191" s="220">
        <f>('OPEB Amounts_Report'!H191-'OPEB Amounts_Report'!M191)</f>
        <v>-458195</v>
      </c>
      <c r="X191" s="245">
        <f t="shared" si="23"/>
        <v>0</v>
      </c>
    </row>
    <row r="192" spans="1:24" s="8" customFormat="1">
      <c r="A192" s="209">
        <v>4310</v>
      </c>
      <c r="B192" s="210" t="s">
        <v>178</v>
      </c>
      <c r="C192" s="219">
        <f t="shared" si="24"/>
        <v>-128338</v>
      </c>
      <c r="D192" s="219">
        <f t="shared" si="25"/>
        <v>-159013</v>
      </c>
      <c r="E192" s="219">
        <f t="shared" si="26"/>
        <v>-99099</v>
      </c>
      <c r="F192" s="219">
        <f t="shared" si="27"/>
        <v>-19187</v>
      </c>
      <c r="G192" s="219">
        <f t="shared" si="28"/>
        <v>31334</v>
      </c>
      <c r="I192" s="49"/>
      <c r="K192" s="220">
        <f>ROUND(VLOOKUP($A192,'Contribution Allocation_Report'!$A$9:$D$314,4,FALSE)*$K$326,0)</f>
        <v>-82217</v>
      </c>
      <c r="L192" s="220">
        <f>ROUND(VLOOKUP($A192,'Contribution Allocation_Report'!$A$9:$D$314,4,FALSE)*$L$326,0)</f>
        <v>-112761</v>
      </c>
      <c r="M192" s="220">
        <f>ROUND(VLOOKUP($A192,'Contribution Allocation_Report'!$A$9:$D$314,4,FALSE)*$M$326,0)</f>
        <v>-73726</v>
      </c>
      <c r="N192" s="220">
        <f>ROUND(VLOOKUP($A192,'Contribution Allocation_Report'!$A$9:$D$314,4,FALSE)*$N$326,0)</f>
        <v>-18858</v>
      </c>
      <c r="O192" s="220">
        <f>ROUND(VLOOKUP($A192,'Contribution Allocation_Report'!$A$9:$D$314,4,FALSE)*$O$326,0)</f>
        <v>8118</v>
      </c>
      <c r="Q192" s="220">
        <f>+VLOOKUP(A192,'Change in Proportion Layers'!$AL$8:$AQ$322,2,FALSE)+K192</f>
        <v>-128338</v>
      </c>
      <c r="R192" s="220">
        <f>+VLOOKUP(A192,'Change in Proportion Layers'!$AL$8:$AQ$322,3,FALSE)+L192</f>
        <v>-159013</v>
      </c>
      <c r="S192" s="220">
        <f>+VLOOKUP(A192,'Change in Proportion Layers'!$AL$8:$AQ$322,4,FALSE)+M192</f>
        <v>-99099</v>
      </c>
      <c r="T192" s="220">
        <f>+VLOOKUP(A192,'Change in Proportion Layers'!$AL$8:$AQ$322,5,FALSE)+N192</f>
        <v>-19187</v>
      </c>
      <c r="U192" s="220">
        <f>+VLOOKUP(A192,'Change in Proportion Layers'!$AL$8:$AQ$322,6,FALSE)+O192-1</f>
        <v>31334</v>
      </c>
      <c r="W192" s="220">
        <f>('OPEB Amounts_Report'!H192-'OPEB Amounts_Report'!M192)</f>
        <v>-374303</v>
      </c>
      <c r="X192" s="245">
        <f t="shared" si="23"/>
        <v>0</v>
      </c>
    </row>
    <row r="193" spans="1:24" s="8" customFormat="1">
      <c r="A193" s="211">
        <v>2328</v>
      </c>
      <c r="B193" s="212" t="s">
        <v>179</v>
      </c>
      <c r="C193" s="46">
        <f t="shared" si="24"/>
        <v>-153464</v>
      </c>
      <c r="D193" s="46">
        <f t="shared" si="25"/>
        <v>-194829</v>
      </c>
      <c r="E193" s="46">
        <f t="shared" si="26"/>
        <v>-160836</v>
      </c>
      <c r="F193" s="46">
        <f t="shared" si="27"/>
        <v>-93022</v>
      </c>
      <c r="G193" s="46">
        <f t="shared" si="28"/>
        <v>-39510</v>
      </c>
      <c r="I193" s="49"/>
      <c r="K193" s="220">
        <f>ROUND(VLOOKUP($A193,'Contribution Allocation_Report'!$A$9:$D$314,4,FALSE)*$K$326,0)</f>
        <v>-120587</v>
      </c>
      <c r="L193" s="220">
        <f>ROUND(VLOOKUP($A193,'Contribution Allocation_Report'!$A$9:$D$314,4,FALSE)*$L$326,0)</f>
        <v>-165385</v>
      </c>
      <c r="M193" s="220">
        <f>ROUND(VLOOKUP($A193,'Contribution Allocation_Report'!$A$9:$D$314,4,FALSE)*$M$326,0)</f>
        <v>-108134</v>
      </c>
      <c r="N193" s="220">
        <f>ROUND(VLOOKUP($A193,'Contribution Allocation_Report'!$A$9:$D$314,4,FALSE)*$N$326,0)</f>
        <v>-27659</v>
      </c>
      <c r="O193" s="220">
        <f>ROUND(VLOOKUP($A193,'Contribution Allocation_Report'!$A$9:$D$314,4,FALSE)*$O$326,0)</f>
        <v>11906</v>
      </c>
      <c r="Q193" s="220">
        <f>+VLOOKUP(A193,'Change in Proportion Layers'!$AL$8:$AQ$322,2,FALSE)+K193</f>
        <v>-153464</v>
      </c>
      <c r="R193" s="220">
        <f>+VLOOKUP(A193,'Change in Proportion Layers'!$AL$8:$AQ$322,3,FALSE)+L193</f>
        <v>-194829</v>
      </c>
      <c r="S193" s="220">
        <f>+VLOOKUP(A193,'Change in Proportion Layers'!$AL$8:$AQ$322,4,FALSE)+M193</f>
        <v>-160836</v>
      </c>
      <c r="T193" s="220">
        <f>+VLOOKUP(A193,'Change in Proportion Layers'!$AL$8:$AQ$322,5,FALSE)+N193</f>
        <v>-93022</v>
      </c>
      <c r="U193" s="220">
        <f>+VLOOKUP(A193,'Change in Proportion Layers'!$AL$8:$AQ$322,6,FALSE)+O193+1</f>
        <v>-39510</v>
      </c>
      <c r="W193" s="220">
        <f>('OPEB Amounts_Report'!H193-'OPEB Amounts_Report'!M193)</f>
        <v>-641661</v>
      </c>
      <c r="X193" s="245">
        <f t="shared" si="23"/>
        <v>0</v>
      </c>
    </row>
    <row r="194" spans="1:24" s="8" customFormat="1">
      <c r="A194" s="209">
        <v>12151</v>
      </c>
      <c r="B194" s="210" t="s">
        <v>180</v>
      </c>
      <c r="C194" s="219">
        <f t="shared" si="24"/>
        <v>-69182</v>
      </c>
      <c r="D194" s="219">
        <f t="shared" si="25"/>
        <v>-57498</v>
      </c>
      <c r="E194" s="219">
        <f t="shared" si="26"/>
        <v>-37402</v>
      </c>
      <c r="F194" s="219">
        <f t="shared" si="27"/>
        <v>8812</v>
      </c>
      <c r="G194" s="219">
        <f t="shared" si="28"/>
        <v>25260</v>
      </c>
      <c r="I194" s="49"/>
      <c r="K194" s="220">
        <f>ROUND(VLOOKUP($A194,'Contribution Allocation_Report'!$A$9:$D$314,4,FALSE)*$K$326,0)</f>
        <v>-56464</v>
      </c>
      <c r="L194" s="220">
        <f>ROUND(VLOOKUP($A194,'Contribution Allocation_Report'!$A$9:$D$314,4,FALSE)*$L$326,0)</f>
        <v>-77440</v>
      </c>
      <c r="M194" s="220">
        <f>ROUND(VLOOKUP($A194,'Contribution Allocation_Report'!$A$9:$D$314,4,FALSE)*$M$326,0)</f>
        <v>-50633</v>
      </c>
      <c r="N194" s="220">
        <f>ROUND(VLOOKUP($A194,'Contribution Allocation_Report'!$A$9:$D$314,4,FALSE)*$N$326,0)</f>
        <v>-12951</v>
      </c>
      <c r="O194" s="220">
        <f>ROUND(VLOOKUP($A194,'Contribution Allocation_Report'!$A$9:$D$314,4,FALSE)*$O$326,0)</f>
        <v>5575</v>
      </c>
      <c r="Q194" s="220">
        <f>+VLOOKUP(A194,'Change in Proportion Layers'!$AL$8:$AQ$322,2,FALSE)+K194</f>
        <v>-69182</v>
      </c>
      <c r="R194" s="220">
        <f>+VLOOKUP(A194,'Change in Proportion Layers'!$AL$8:$AQ$322,3,FALSE)+L194</f>
        <v>-57498</v>
      </c>
      <c r="S194" s="220">
        <f>+VLOOKUP(A194,'Change in Proportion Layers'!$AL$8:$AQ$322,4,FALSE)+M194</f>
        <v>-37402</v>
      </c>
      <c r="T194" s="220">
        <f>+VLOOKUP(A194,'Change in Proportion Layers'!$AL$8:$AQ$322,5,FALSE)+N194</f>
        <v>8812</v>
      </c>
      <c r="U194" s="220">
        <f>+VLOOKUP(A194,'Change in Proportion Layers'!$AL$8:$AQ$322,6,FALSE)+O194-1</f>
        <v>25260</v>
      </c>
      <c r="W194" s="220">
        <f>('OPEB Amounts_Report'!H194-'OPEB Amounts_Report'!M194)</f>
        <v>-130010</v>
      </c>
      <c r="X194" s="245">
        <f t="shared" si="23"/>
        <v>0</v>
      </c>
    </row>
    <row r="195" spans="1:24" s="8" customFormat="1">
      <c r="A195" s="211">
        <v>32110</v>
      </c>
      <c r="B195" s="212" t="s">
        <v>181</v>
      </c>
      <c r="C195" s="46">
        <f>+Q195</f>
        <v>-373452</v>
      </c>
      <c r="D195" s="46">
        <f t="shared" si="25"/>
        <v>-681349</v>
      </c>
      <c r="E195" s="46">
        <f t="shared" si="26"/>
        <v>-504451</v>
      </c>
      <c r="F195" s="46">
        <f t="shared" si="27"/>
        <v>-77273</v>
      </c>
      <c r="G195" s="46">
        <f t="shared" si="28"/>
        <v>69995</v>
      </c>
      <c r="I195" s="49"/>
      <c r="K195" s="220">
        <f>ROUND(VLOOKUP($A195,'Contribution Allocation_Report'!$A$9:$D$314,4,FALSE)*$K$326,0)</f>
        <v>-570264</v>
      </c>
      <c r="L195" s="220">
        <f>ROUND(VLOOKUP($A195,'Contribution Allocation_Report'!$A$9:$D$314,4,FALSE)*$L$326,0)</f>
        <v>-782116</v>
      </c>
      <c r="M195" s="220">
        <f>ROUND(VLOOKUP($A195,'Contribution Allocation_Report'!$A$9:$D$314,4,FALSE)*$M$326,0)</f>
        <v>-511372</v>
      </c>
      <c r="N195" s="220">
        <f>ROUND(VLOOKUP($A195,'Contribution Allocation_Report'!$A$9:$D$314,4,FALSE)*$N$326,0)</f>
        <v>-130802</v>
      </c>
      <c r="O195" s="220">
        <f>ROUND(VLOOKUP($A195,'Contribution Allocation_Report'!$A$9:$D$314,4,FALSE)*$O$326,0)</f>
        <v>56306</v>
      </c>
      <c r="Q195" s="220">
        <f>+VLOOKUP(A195,'Change in Proportion Layers'!$AL$8:$AQ$322,2,FALSE)+K195</f>
        <v>-373452</v>
      </c>
      <c r="R195" s="220">
        <f>+VLOOKUP(A195,'Change in Proportion Layers'!$AL$8:$AQ$322,3,FALSE)+L195</f>
        <v>-681349</v>
      </c>
      <c r="S195" s="220">
        <f>+VLOOKUP(A195,'Change in Proportion Layers'!$AL$8:$AQ$322,4,FALSE)+M195</f>
        <v>-504451</v>
      </c>
      <c r="T195" s="220">
        <f>+VLOOKUP(A195,'Change in Proportion Layers'!$AL$8:$AQ$322,5,FALSE)+N195</f>
        <v>-77273</v>
      </c>
      <c r="U195" s="220">
        <f>+VLOOKUP(A195,'Change in Proportion Layers'!$AL$8:$AQ$322,6,FALSE)+O195</f>
        <v>69995</v>
      </c>
      <c r="W195" s="220">
        <f>('OPEB Amounts_Report'!H195-'OPEB Amounts_Report'!M195)</f>
        <v>-1566530</v>
      </c>
      <c r="X195" s="245">
        <f t="shared" si="23"/>
        <v>0</v>
      </c>
    </row>
    <row r="196" spans="1:24" s="192" customFormat="1">
      <c r="A196" s="209">
        <v>4215</v>
      </c>
      <c r="B196" s="210" t="s">
        <v>468</v>
      </c>
      <c r="C196" s="219">
        <f t="shared" ref="C196" si="29">+Q196</f>
        <v>32108</v>
      </c>
      <c r="D196" s="219">
        <f t="shared" si="25"/>
        <v>21802</v>
      </c>
      <c r="E196" s="219">
        <f t="shared" si="26"/>
        <v>95055</v>
      </c>
      <c r="F196" s="219">
        <f t="shared" si="27"/>
        <v>140734</v>
      </c>
      <c r="G196" s="219">
        <f t="shared" si="28"/>
        <v>-7840</v>
      </c>
      <c r="I196" s="221"/>
      <c r="K196" s="220">
        <f>ROUND(VLOOKUP($A196,'Contribution Allocation_Report'!$A$9:$D$314,4,FALSE)*$K$326,0)</f>
        <v>-78294</v>
      </c>
      <c r="L196" s="220">
        <f>ROUND(VLOOKUP($A196,'Contribution Allocation_Report'!$A$9:$D$314,4,FALSE)*$L$326,0)</f>
        <v>-107381</v>
      </c>
      <c r="M196" s="220">
        <f>ROUND(VLOOKUP($A196,'Contribution Allocation_Report'!$A$9:$D$314,4,FALSE)*$M$326,0)</f>
        <v>-70209</v>
      </c>
      <c r="N196" s="220">
        <f>ROUND(VLOOKUP($A196,'Contribution Allocation_Report'!$A$9:$D$314,4,FALSE)*$N$326,0)</f>
        <v>-17958</v>
      </c>
      <c r="O196" s="220">
        <f>ROUND(VLOOKUP($A196,'Contribution Allocation_Report'!$A$9:$D$314,4,FALSE)*$O$326,0)</f>
        <v>7731</v>
      </c>
      <c r="Q196" s="220">
        <f>+VLOOKUP(A196,'Change in Proportion Layers'!$AL$8:$AQ$322,2,FALSE)+K196</f>
        <v>32108</v>
      </c>
      <c r="R196" s="220">
        <f>+VLOOKUP(A196,'Change in Proportion Layers'!$AL$8:$AQ$322,3,FALSE)+L196</f>
        <v>21802</v>
      </c>
      <c r="S196" s="220">
        <f>+VLOOKUP(A196,'Change in Proportion Layers'!$AL$8:$AQ$322,4,FALSE)+M196</f>
        <v>95055</v>
      </c>
      <c r="T196" s="220">
        <f>+VLOOKUP(A196,'Change in Proportion Layers'!$AL$8:$AQ$322,5,FALSE)+N196</f>
        <v>140734</v>
      </c>
      <c r="U196" s="220">
        <f>+VLOOKUP(A196,'Change in Proportion Layers'!$AL$8:$AQ$322,6,FALSE)+O196-1</f>
        <v>-7840</v>
      </c>
      <c r="W196" s="220">
        <f>('OPEB Amounts_Report'!H196-'OPEB Amounts_Report'!M196)</f>
        <v>281859</v>
      </c>
      <c r="X196" s="245">
        <f t="shared" ref="X196:X210" si="30">SUM(Q196:U196)-W196</f>
        <v>0</v>
      </c>
    </row>
    <row r="197" spans="1:24" s="8" customFormat="1">
      <c r="A197" s="211">
        <v>2870</v>
      </c>
      <c r="B197" s="212" t="s">
        <v>183</v>
      </c>
      <c r="C197" s="46">
        <f t="shared" si="24"/>
        <v>-99548</v>
      </c>
      <c r="D197" s="46">
        <f t="shared" si="25"/>
        <v>-116794</v>
      </c>
      <c r="E197" s="46">
        <f t="shared" si="26"/>
        <v>-77396</v>
      </c>
      <c r="F197" s="46">
        <f t="shared" si="27"/>
        <v>-28585</v>
      </c>
      <c r="G197" s="46">
        <f t="shared" si="28"/>
        <v>2106</v>
      </c>
      <c r="I197" s="49"/>
      <c r="K197" s="220">
        <f>ROUND(VLOOKUP($A197,'Contribution Allocation_Report'!$A$9:$D$314,4,FALSE)*$K$326,0)</f>
        <v>-91139</v>
      </c>
      <c r="L197" s="220">
        <f>ROUND(VLOOKUP($A197,'Contribution Allocation_Report'!$A$9:$D$314,4,FALSE)*$L$326,0)</f>
        <v>-124997</v>
      </c>
      <c r="M197" s="220">
        <f>ROUND(VLOOKUP($A197,'Contribution Allocation_Report'!$A$9:$D$314,4,FALSE)*$M$326,0)</f>
        <v>-81727</v>
      </c>
      <c r="N197" s="220">
        <f>ROUND(VLOOKUP($A197,'Contribution Allocation_Report'!$A$9:$D$314,4,FALSE)*$N$326,0)</f>
        <v>-20905</v>
      </c>
      <c r="O197" s="220">
        <f>ROUND(VLOOKUP($A197,'Contribution Allocation_Report'!$A$9:$D$314,4,FALSE)*$O$326,0)</f>
        <v>8999</v>
      </c>
      <c r="Q197" s="220">
        <f>+VLOOKUP(A197,'Change in Proportion Layers'!$AL$8:$AQ$322,2,FALSE)+K197</f>
        <v>-99548</v>
      </c>
      <c r="R197" s="220">
        <f>+VLOOKUP(A197,'Change in Proportion Layers'!$AL$8:$AQ$322,3,FALSE)+L197</f>
        <v>-116794</v>
      </c>
      <c r="S197" s="220">
        <f>+VLOOKUP(A197,'Change in Proportion Layers'!$AL$8:$AQ$322,4,FALSE)+M197</f>
        <v>-77396</v>
      </c>
      <c r="T197" s="220">
        <f>+VLOOKUP(A197,'Change in Proportion Layers'!$AL$8:$AQ$322,5,FALSE)+N197</f>
        <v>-28585</v>
      </c>
      <c r="U197" s="220">
        <f>+VLOOKUP(A197,'Change in Proportion Layers'!$AL$8:$AQ$322,6,FALSE)+O197-1</f>
        <v>2106</v>
      </c>
      <c r="W197" s="220">
        <f>('OPEB Amounts_Report'!H197-'OPEB Amounts_Report'!M197)</f>
        <v>-320217</v>
      </c>
      <c r="X197" s="245">
        <f t="shared" si="30"/>
        <v>0</v>
      </c>
    </row>
    <row r="198" spans="1:24" s="8" customFormat="1">
      <c r="A198" s="209">
        <v>29150</v>
      </c>
      <c r="B198" s="210" t="s">
        <v>184</v>
      </c>
      <c r="C198" s="219">
        <f t="shared" si="24"/>
        <v>-59291</v>
      </c>
      <c r="D198" s="219">
        <f t="shared" si="25"/>
        <v>-56337</v>
      </c>
      <c r="E198" s="219">
        <f t="shared" si="26"/>
        <v>-36322</v>
      </c>
      <c r="F198" s="219">
        <f t="shared" si="27"/>
        <v>-16206</v>
      </c>
      <c r="G198" s="219">
        <f t="shared" si="28"/>
        <v>-9655</v>
      </c>
      <c r="I198" s="49"/>
      <c r="K198" s="220">
        <f>ROUND(VLOOKUP($A198,'Contribution Allocation_Report'!$A$9:$D$314,4,FALSE)*$K$326,0)</f>
        <v>-17761</v>
      </c>
      <c r="L198" s="220">
        <f>ROUND(VLOOKUP($A198,'Contribution Allocation_Report'!$A$9:$D$314,4,FALSE)*$L$326,0)</f>
        <v>-24359</v>
      </c>
      <c r="M198" s="220">
        <f>ROUND(VLOOKUP($A198,'Contribution Allocation_Report'!$A$9:$D$314,4,FALSE)*$M$326,0)</f>
        <v>-15927</v>
      </c>
      <c r="N198" s="220">
        <f>ROUND(VLOOKUP($A198,'Contribution Allocation_Report'!$A$9:$D$314,4,FALSE)*$N$326,0)</f>
        <v>-4074</v>
      </c>
      <c r="O198" s="220">
        <f>ROUND(VLOOKUP($A198,'Contribution Allocation_Report'!$A$9:$D$314,4,FALSE)*$O$326,0)</f>
        <v>1754</v>
      </c>
      <c r="Q198" s="220">
        <f>+VLOOKUP(A198,'Change in Proportion Layers'!$AL$8:$AQ$322,2,FALSE)+K198</f>
        <v>-59291</v>
      </c>
      <c r="R198" s="220">
        <f>+VLOOKUP(A198,'Change in Proportion Layers'!$AL$8:$AQ$322,3,FALSE)+L198</f>
        <v>-56337</v>
      </c>
      <c r="S198" s="220">
        <f>+VLOOKUP(A198,'Change in Proportion Layers'!$AL$8:$AQ$322,4,FALSE)+M198</f>
        <v>-36322</v>
      </c>
      <c r="T198" s="220">
        <f>+VLOOKUP(A198,'Change in Proportion Layers'!$AL$8:$AQ$322,5,FALSE)+N198</f>
        <v>-16206</v>
      </c>
      <c r="U198" s="220">
        <f>+VLOOKUP(A198,'Change in Proportion Layers'!$AL$8:$AQ$322,6,FALSE)+O198+1</f>
        <v>-9655</v>
      </c>
      <c r="W198" s="220">
        <f>('OPEB Amounts_Report'!H198-'OPEB Amounts_Report'!M198)</f>
        <v>-177811</v>
      </c>
      <c r="X198" s="245">
        <f t="shared" si="30"/>
        <v>0</v>
      </c>
    </row>
    <row r="199" spans="1:24" s="8" customFormat="1">
      <c r="A199" s="211">
        <v>32118</v>
      </c>
      <c r="B199" s="212" t="s">
        <v>186</v>
      </c>
      <c r="C199" s="46">
        <f t="shared" si="24"/>
        <v>351157</v>
      </c>
      <c r="D199" s="46">
        <f t="shared" si="25"/>
        <v>90794</v>
      </c>
      <c r="E199" s="46">
        <f t="shared" si="26"/>
        <v>-90441</v>
      </c>
      <c r="F199" s="46">
        <f t="shared" si="27"/>
        <v>63399</v>
      </c>
      <c r="G199" s="46">
        <f t="shared" si="28"/>
        <v>42947</v>
      </c>
      <c r="I199" s="49"/>
      <c r="K199" s="220">
        <f>ROUND(VLOOKUP($A199,'Contribution Allocation_Report'!$A$9:$D$314,4,FALSE)*$K$326,0)</f>
        <v>-360726</v>
      </c>
      <c r="L199" s="220">
        <f>ROUND(VLOOKUP($A199,'Contribution Allocation_Report'!$A$9:$D$314,4,FALSE)*$L$326,0)</f>
        <v>-494735</v>
      </c>
      <c r="M199" s="220">
        <f>ROUND(VLOOKUP($A199,'Contribution Allocation_Report'!$A$9:$D$314,4,FALSE)*$M$326,0)</f>
        <v>-323474</v>
      </c>
      <c r="N199" s="220">
        <f>ROUND(VLOOKUP($A199,'Contribution Allocation_Report'!$A$9:$D$314,4,FALSE)*$N$326,0)</f>
        <v>-82740</v>
      </c>
      <c r="O199" s="220">
        <f>ROUND(VLOOKUP($A199,'Contribution Allocation_Report'!$A$9:$D$314,4,FALSE)*$O$326,0)</f>
        <v>35617</v>
      </c>
      <c r="Q199" s="220">
        <f>+VLOOKUP(A199,'Change in Proportion Layers'!$AL$8:$AQ$322,2,FALSE)+K199</f>
        <v>351157</v>
      </c>
      <c r="R199" s="220">
        <f>+VLOOKUP(A199,'Change in Proportion Layers'!$AL$8:$AQ$322,3,FALSE)+L199</f>
        <v>90794</v>
      </c>
      <c r="S199" s="220">
        <f>+VLOOKUP(A199,'Change in Proportion Layers'!$AL$8:$AQ$322,4,FALSE)+M199</f>
        <v>-90441</v>
      </c>
      <c r="T199" s="220">
        <f>+VLOOKUP(A199,'Change in Proportion Layers'!$AL$8:$AQ$322,5,FALSE)+N199</f>
        <v>63399</v>
      </c>
      <c r="U199" s="220">
        <f>+VLOOKUP(A199,'Change in Proportion Layers'!$AL$8:$AQ$322,6,FALSE)+O199</f>
        <v>42947</v>
      </c>
      <c r="W199" s="220">
        <f>('OPEB Amounts_Report'!H199-'OPEB Amounts_Report'!M199)</f>
        <v>457856</v>
      </c>
      <c r="X199" s="245">
        <f t="shared" si="30"/>
        <v>0</v>
      </c>
    </row>
    <row r="200" spans="1:24" s="8" customFormat="1">
      <c r="A200" s="209">
        <v>12039</v>
      </c>
      <c r="B200" s="210" t="s">
        <v>187</v>
      </c>
      <c r="C200" s="219">
        <f t="shared" si="24"/>
        <v>-358731</v>
      </c>
      <c r="D200" s="219">
        <f t="shared" si="25"/>
        <v>-383474</v>
      </c>
      <c r="E200" s="219">
        <f t="shared" si="26"/>
        <v>-240333</v>
      </c>
      <c r="F200" s="219">
        <f t="shared" si="27"/>
        <v>-87397</v>
      </c>
      <c r="G200" s="219">
        <f t="shared" si="28"/>
        <v>-15807</v>
      </c>
      <c r="I200" s="49"/>
      <c r="K200" s="220">
        <f>ROUND(VLOOKUP($A200,'Contribution Allocation_Report'!$A$9:$D$314,4,FALSE)*$K$326,0)</f>
        <v>-224212</v>
      </c>
      <c r="L200" s="220">
        <f>ROUND(VLOOKUP($A200,'Contribution Allocation_Report'!$A$9:$D$314,4,FALSE)*$L$326,0)</f>
        <v>-307505</v>
      </c>
      <c r="M200" s="220">
        <f>ROUND(VLOOKUP($A200,'Contribution Allocation_Report'!$A$9:$D$314,4,FALSE)*$M$326,0)</f>
        <v>-201057</v>
      </c>
      <c r="N200" s="220">
        <f>ROUND(VLOOKUP($A200,'Contribution Allocation_Report'!$A$9:$D$314,4,FALSE)*$N$326,0)</f>
        <v>-51427</v>
      </c>
      <c r="O200" s="220">
        <f>ROUND(VLOOKUP($A200,'Contribution Allocation_Report'!$A$9:$D$314,4,FALSE)*$O$326,0)</f>
        <v>22138</v>
      </c>
      <c r="Q200" s="220">
        <f>+VLOOKUP(A200,'Change in Proportion Layers'!$AL$8:$AQ$322,2,FALSE)+K200</f>
        <v>-358731</v>
      </c>
      <c r="R200" s="220">
        <f>+VLOOKUP(A200,'Change in Proportion Layers'!$AL$8:$AQ$322,3,FALSE)+L200</f>
        <v>-383474</v>
      </c>
      <c r="S200" s="220">
        <f>+VLOOKUP(A200,'Change in Proportion Layers'!$AL$8:$AQ$322,4,FALSE)+M200</f>
        <v>-240333</v>
      </c>
      <c r="T200" s="220">
        <f>+VLOOKUP(A200,'Change in Proportion Layers'!$AL$8:$AQ$322,5,FALSE)+N200</f>
        <v>-87397</v>
      </c>
      <c r="U200" s="220">
        <f>+VLOOKUP(A200,'Change in Proportion Layers'!$AL$8:$AQ$322,6,FALSE)+O200-1</f>
        <v>-15807</v>
      </c>
      <c r="W200" s="220">
        <f>('OPEB Amounts_Report'!H200-'OPEB Amounts_Report'!M200)</f>
        <v>-1085742</v>
      </c>
      <c r="X200" s="245">
        <f t="shared" si="30"/>
        <v>0</v>
      </c>
    </row>
    <row r="201" spans="1:24" s="8" customFormat="1">
      <c r="A201" s="211">
        <v>12150</v>
      </c>
      <c r="B201" s="212" t="s">
        <v>188</v>
      </c>
      <c r="C201" s="46">
        <f t="shared" si="24"/>
        <v>-60693</v>
      </c>
      <c r="D201" s="46">
        <f t="shared" si="25"/>
        <v>-84889</v>
      </c>
      <c r="E201" s="46">
        <f t="shared" si="26"/>
        <v>-49863</v>
      </c>
      <c r="F201" s="46">
        <f t="shared" si="27"/>
        <v>-18518</v>
      </c>
      <c r="G201" s="46">
        <f t="shared" si="28"/>
        <v>-8127</v>
      </c>
      <c r="I201" s="49"/>
      <c r="K201" s="220">
        <f>ROUND(VLOOKUP($A201,'Contribution Allocation_Report'!$A$9:$D$314,4,FALSE)*$K$326,0)</f>
        <v>-40587</v>
      </c>
      <c r="L201" s="220">
        <f>ROUND(VLOOKUP($A201,'Contribution Allocation_Report'!$A$9:$D$314,4,FALSE)*$L$326,0)</f>
        <v>-55665</v>
      </c>
      <c r="M201" s="220">
        <f>ROUND(VLOOKUP($A201,'Contribution Allocation_Report'!$A$9:$D$314,4,FALSE)*$M$326,0)</f>
        <v>-36395</v>
      </c>
      <c r="N201" s="220">
        <f>ROUND(VLOOKUP($A201,'Contribution Allocation_Report'!$A$9:$D$314,4,FALSE)*$N$326,0)</f>
        <v>-9309</v>
      </c>
      <c r="O201" s="220">
        <f>ROUND(VLOOKUP($A201,'Contribution Allocation_Report'!$A$9:$D$314,4,FALSE)*$O$326,0)</f>
        <v>4007</v>
      </c>
      <c r="Q201" s="220">
        <f>+VLOOKUP(A201,'Change in Proportion Layers'!$AL$8:$AQ$322,2,FALSE)+K201</f>
        <v>-60693</v>
      </c>
      <c r="R201" s="220">
        <f>+VLOOKUP(A201,'Change in Proportion Layers'!$AL$8:$AQ$322,3,FALSE)+L201</f>
        <v>-84889</v>
      </c>
      <c r="S201" s="220">
        <f>+VLOOKUP(A201,'Change in Proportion Layers'!$AL$8:$AQ$322,4,FALSE)+M201</f>
        <v>-49863</v>
      </c>
      <c r="T201" s="220">
        <f>+VLOOKUP(A201,'Change in Proportion Layers'!$AL$8:$AQ$322,5,FALSE)+N201</f>
        <v>-18518</v>
      </c>
      <c r="U201" s="220">
        <f>+VLOOKUP(A201,'Change in Proportion Layers'!$AL$8:$AQ$322,6,FALSE)+O201</f>
        <v>-8127</v>
      </c>
      <c r="W201" s="220">
        <f>('OPEB Amounts_Report'!H201-'OPEB Amounts_Report'!M201)</f>
        <v>-222090</v>
      </c>
      <c r="X201" s="245">
        <f t="shared" si="30"/>
        <v>0</v>
      </c>
    </row>
    <row r="202" spans="1:24" s="8" customFormat="1">
      <c r="A202" s="209">
        <v>20060</v>
      </c>
      <c r="B202" s="210" t="s">
        <v>189</v>
      </c>
      <c r="C202" s="219">
        <f t="shared" si="24"/>
        <v>-220827</v>
      </c>
      <c r="D202" s="219">
        <f t="shared" si="25"/>
        <v>-257795</v>
      </c>
      <c r="E202" s="219">
        <f t="shared" si="26"/>
        <v>-158344</v>
      </c>
      <c r="F202" s="219">
        <f t="shared" si="27"/>
        <v>-74318</v>
      </c>
      <c r="G202" s="219">
        <f t="shared" si="28"/>
        <v>-13454</v>
      </c>
      <c r="I202" s="49"/>
      <c r="K202" s="220">
        <f>ROUND(VLOOKUP($A202,'Contribution Allocation_Report'!$A$9:$D$314,4,FALSE)*$K$326,0)</f>
        <v>-166735</v>
      </c>
      <c r="L202" s="220">
        <f>ROUND(VLOOKUP($A202,'Contribution Allocation_Report'!$A$9:$D$314,4,FALSE)*$L$326,0)</f>
        <v>-228676</v>
      </c>
      <c r="M202" s="220">
        <f>ROUND(VLOOKUP($A202,'Contribution Allocation_Report'!$A$9:$D$314,4,FALSE)*$M$326,0)</f>
        <v>-149516</v>
      </c>
      <c r="N202" s="220">
        <f>ROUND(VLOOKUP($A202,'Contribution Allocation_Report'!$A$9:$D$314,4,FALSE)*$N$326,0)</f>
        <v>-38244</v>
      </c>
      <c r="O202" s="220">
        <f>ROUND(VLOOKUP($A202,'Contribution Allocation_Report'!$A$9:$D$314,4,FALSE)*$O$326,0)</f>
        <v>16463</v>
      </c>
      <c r="Q202" s="220">
        <f>+VLOOKUP(A202,'Change in Proportion Layers'!$AL$8:$AQ$322,2,FALSE)+K202</f>
        <v>-220827</v>
      </c>
      <c r="R202" s="220">
        <f>+VLOOKUP(A202,'Change in Proportion Layers'!$AL$8:$AQ$322,3,FALSE)+L202</f>
        <v>-257795</v>
      </c>
      <c r="S202" s="220">
        <f>+VLOOKUP(A202,'Change in Proportion Layers'!$AL$8:$AQ$322,4,FALSE)+M202</f>
        <v>-158344</v>
      </c>
      <c r="T202" s="220">
        <f>+VLOOKUP(A202,'Change in Proportion Layers'!$AL$8:$AQ$322,5,FALSE)+N202</f>
        <v>-74318</v>
      </c>
      <c r="U202" s="220">
        <f>+VLOOKUP(A202,'Change in Proportion Layers'!$AL$8:$AQ$322,6,FALSE)+O202+1</f>
        <v>-13454</v>
      </c>
      <c r="W202" s="220">
        <f>('OPEB Amounts_Report'!H202-'OPEB Amounts_Report'!M202)</f>
        <v>-724738</v>
      </c>
      <c r="X202" s="245">
        <f t="shared" si="30"/>
        <v>0</v>
      </c>
    </row>
    <row r="203" spans="1:24" s="8" customFormat="1">
      <c r="A203" s="211">
        <v>1001</v>
      </c>
      <c r="B203" s="212" t="s">
        <v>190</v>
      </c>
      <c r="C203" s="46">
        <f t="shared" si="24"/>
        <v>-722614</v>
      </c>
      <c r="D203" s="46">
        <f t="shared" si="25"/>
        <v>-908882</v>
      </c>
      <c r="E203" s="46">
        <f t="shared" si="26"/>
        <v>-220629</v>
      </c>
      <c r="F203" s="46">
        <f t="shared" si="27"/>
        <v>44563</v>
      </c>
      <c r="G203" s="46">
        <f t="shared" si="28"/>
        <v>132026</v>
      </c>
      <c r="I203" s="49"/>
      <c r="K203" s="220">
        <f>ROUND(VLOOKUP($A203,'Contribution Allocation_Report'!$A$9:$D$314,4,FALSE)*$K$326,0)</f>
        <v>-636817</v>
      </c>
      <c r="L203" s="220">
        <f>ROUND(VLOOKUP($A203,'Contribution Allocation_Report'!$A$9:$D$314,4,FALSE)*$L$326,0)</f>
        <v>-873392</v>
      </c>
      <c r="M203" s="220">
        <f>ROUND(VLOOKUP($A203,'Contribution Allocation_Report'!$A$9:$D$314,4,FALSE)*$M$326,0)</f>
        <v>-571052</v>
      </c>
      <c r="N203" s="220">
        <f>ROUND(VLOOKUP($A203,'Contribution Allocation_Report'!$A$9:$D$314,4,FALSE)*$N$326,0)</f>
        <v>-146067</v>
      </c>
      <c r="O203" s="220">
        <f>ROUND(VLOOKUP($A203,'Contribution Allocation_Report'!$A$9:$D$314,4,FALSE)*$O$326,0)</f>
        <v>62877</v>
      </c>
      <c r="Q203" s="220">
        <f>+VLOOKUP(A203,'Change in Proportion Layers'!$AL$8:$AQ$322,2,FALSE)+K203</f>
        <v>-722614</v>
      </c>
      <c r="R203" s="220">
        <f>+VLOOKUP(A203,'Change in Proportion Layers'!$AL$8:$AQ$322,3,FALSE)+L203</f>
        <v>-908882</v>
      </c>
      <c r="S203" s="220">
        <f>+VLOOKUP(A203,'Change in Proportion Layers'!$AL$8:$AQ$322,4,FALSE)+M203</f>
        <v>-220629</v>
      </c>
      <c r="T203" s="220">
        <f>+VLOOKUP(A203,'Change in Proportion Layers'!$AL$8:$AQ$322,5,FALSE)+N203</f>
        <v>44563</v>
      </c>
      <c r="U203" s="220">
        <f>+VLOOKUP(A203,'Change in Proportion Layers'!$AL$8:$AQ$322,6,FALSE)+O203+1</f>
        <v>132026</v>
      </c>
      <c r="W203" s="220">
        <f>('OPEB Amounts_Report'!H203-'OPEB Amounts_Report'!M203)</f>
        <v>-1675536</v>
      </c>
      <c r="X203" s="245">
        <f t="shared" si="30"/>
        <v>0</v>
      </c>
    </row>
    <row r="204" spans="1:24" s="8" customFormat="1">
      <c r="A204" s="209">
        <v>11035</v>
      </c>
      <c r="B204" s="210" t="s">
        <v>191</v>
      </c>
      <c r="C204" s="219">
        <f t="shared" ref="C204:C271" si="31">+Q204</f>
        <v>-832964</v>
      </c>
      <c r="D204" s="219">
        <f t="shared" ref="D204:D271" si="32">+R204</f>
        <v>-1388339</v>
      </c>
      <c r="E204" s="219">
        <f t="shared" ref="E204:E271" si="33">+S204</f>
        <v>-956734</v>
      </c>
      <c r="F204" s="219">
        <f t="shared" ref="F204:F271" si="34">+T204</f>
        <v>-177138</v>
      </c>
      <c r="G204" s="219">
        <f t="shared" ref="G204:G271" si="35">+U204</f>
        <v>36126</v>
      </c>
      <c r="I204" s="49"/>
      <c r="K204" s="220">
        <f>ROUND(VLOOKUP($A204,'Contribution Allocation_Report'!$A$9:$D$314,4,FALSE)*$K$326,0)</f>
        <v>-1129390</v>
      </c>
      <c r="L204" s="220">
        <f>ROUND(VLOOKUP($A204,'Contribution Allocation_Report'!$A$9:$D$314,4,FALSE)*$L$326,0)</f>
        <v>-1548955</v>
      </c>
      <c r="M204" s="220">
        <f>ROUND(VLOOKUP($A204,'Contribution Allocation_Report'!$A$9:$D$314,4,FALSE)*$M$326,0)</f>
        <v>-1012756</v>
      </c>
      <c r="N204" s="220">
        <f>ROUND(VLOOKUP($A204,'Contribution Allocation_Report'!$A$9:$D$314,4,FALSE)*$N$326,0)</f>
        <v>-259049</v>
      </c>
      <c r="O204" s="220">
        <f>ROUND(VLOOKUP($A204,'Contribution Allocation_Report'!$A$9:$D$314,4,FALSE)*$O$326,0)</f>
        <v>111513</v>
      </c>
      <c r="Q204" s="220">
        <f>+VLOOKUP(A204,'Change in Proportion Layers'!$AL$8:$AQ$322,2,FALSE)+K204</f>
        <v>-832964</v>
      </c>
      <c r="R204" s="220">
        <f>+VLOOKUP(A204,'Change in Proportion Layers'!$AL$8:$AQ$322,3,FALSE)+L204</f>
        <v>-1388339</v>
      </c>
      <c r="S204" s="220">
        <f>+VLOOKUP(A204,'Change in Proportion Layers'!$AL$8:$AQ$322,4,FALSE)+M204</f>
        <v>-956734</v>
      </c>
      <c r="T204" s="220">
        <f>+VLOOKUP(A204,'Change in Proportion Layers'!$AL$8:$AQ$322,5,FALSE)+N204</f>
        <v>-177138</v>
      </c>
      <c r="U204" s="220">
        <f>+VLOOKUP(A204,'Change in Proportion Layers'!$AL$8:$AQ$322,6,FALSE)+O204-1</f>
        <v>36126</v>
      </c>
      <c r="W204" s="220">
        <f>('OPEB Amounts_Report'!H204-'OPEB Amounts_Report'!M204)</f>
        <v>-3319049</v>
      </c>
      <c r="X204" s="245">
        <f t="shared" si="30"/>
        <v>0</v>
      </c>
    </row>
    <row r="205" spans="1:24" s="8" customFormat="1">
      <c r="A205" s="211">
        <v>2320</v>
      </c>
      <c r="B205" s="212" t="s">
        <v>192</v>
      </c>
      <c r="C205" s="46">
        <f t="shared" si="31"/>
        <v>-117947</v>
      </c>
      <c r="D205" s="46">
        <f t="shared" si="32"/>
        <v>-180304</v>
      </c>
      <c r="E205" s="46">
        <f t="shared" si="33"/>
        <v>-119068</v>
      </c>
      <c r="F205" s="46">
        <f t="shared" si="34"/>
        <v>-17724</v>
      </c>
      <c r="G205" s="46">
        <f t="shared" si="35"/>
        <v>2799</v>
      </c>
      <c r="I205" s="49"/>
      <c r="K205" s="220">
        <f>ROUND(VLOOKUP($A205,'Contribution Allocation_Report'!$A$9:$D$314,4,FALSE)*$K$326,0)</f>
        <v>-132754</v>
      </c>
      <c r="L205" s="220">
        <f>ROUND(VLOOKUP($A205,'Contribution Allocation_Report'!$A$9:$D$314,4,FALSE)*$L$326,0)</f>
        <v>-182072</v>
      </c>
      <c r="M205" s="220">
        <f>ROUND(VLOOKUP($A205,'Contribution Allocation_Report'!$A$9:$D$314,4,FALSE)*$M$326,0)</f>
        <v>-119045</v>
      </c>
      <c r="N205" s="220">
        <f>ROUND(VLOOKUP($A205,'Contribution Allocation_Report'!$A$9:$D$314,4,FALSE)*$N$326,0)</f>
        <v>-30450</v>
      </c>
      <c r="O205" s="220">
        <f>ROUND(VLOOKUP($A205,'Contribution Allocation_Report'!$A$9:$D$314,4,FALSE)*$O$326,0)</f>
        <v>13108</v>
      </c>
      <c r="Q205" s="220">
        <f>+VLOOKUP(A205,'Change in Proportion Layers'!$AL$8:$AQ$322,2,FALSE)+K205</f>
        <v>-117947</v>
      </c>
      <c r="R205" s="220">
        <f>+VLOOKUP(A205,'Change in Proportion Layers'!$AL$8:$AQ$322,3,FALSE)+L205</f>
        <v>-180304</v>
      </c>
      <c r="S205" s="220">
        <f>+VLOOKUP(A205,'Change in Proportion Layers'!$AL$8:$AQ$322,4,FALSE)+M205</f>
        <v>-119068</v>
      </c>
      <c r="T205" s="220">
        <f>+VLOOKUP(A205,'Change in Proportion Layers'!$AL$8:$AQ$322,5,FALSE)+N205</f>
        <v>-17724</v>
      </c>
      <c r="U205" s="220">
        <f>+VLOOKUP(A205,'Change in Proportion Layers'!$AL$8:$AQ$322,6,FALSE)+O205</f>
        <v>2799</v>
      </c>
      <c r="W205" s="220">
        <f>('OPEB Amounts_Report'!H205-'OPEB Amounts_Report'!M205)</f>
        <v>-432244</v>
      </c>
      <c r="X205" s="245">
        <f t="shared" si="30"/>
        <v>0</v>
      </c>
    </row>
    <row r="206" spans="1:24" s="8" customFormat="1">
      <c r="A206" s="209">
        <v>28084</v>
      </c>
      <c r="B206" s="210" t="s">
        <v>193</v>
      </c>
      <c r="C206" s="219">
        <f t="shared" si="31"/>
        <v>-81057</v>
      </c>
      <c r="D206" s="219">
        <f t="shared" si="32"/>
        <v>-129220</v>
      </c>
      <c r="E206" s="219">
        <f t="shared" si="33"/>
        <v>-88129</v>
      </c>
      <c r="F206" s="219">
        <f t="shared" si="34"/>
        <v>-19759</v>
      </c>
      <c r="G206" s="219">
        <f t="shared" si="35"/>
        <v>21890</v>
      </c>
      <c r="I206" s="49"/>
      <c r="K206" s="220">
        <f>ROUND(VLOOKUP($A206,'Contribution Allocation_Report'!$A$9:$D$314,4,FALSE)*$K$326,0)</f>
        <v>-111606</v>
      </c>
      <c r="L206" s="220">
        <f>ROUND(VLOOKUP($A206,'Contribution Allocation_Report'!$A$9:$D$314,4,FALSE)*$L$326,0)</f>
        <v>-153067</v>
      </c>
      <c r="M206" s="220">
        <f>ROUND(VLOOKUP($A206,'Contribution Allocation_Report'!$A$9:$D$314,4,FALSE)*$M$326,0)</f>
        <v>-100080</v>
      </c>
      <c r="N206" s="220">
        <f>ROUND(VLOOKUP($A206,'Contribution Allocation_Report'!$A$9:$D$314,4,FALSE)*$N$326,0)</f>
        <v>-25599</v>
      </c>
      <c r="O206" s="220">
        <f>ROUND(VLOOKUP($A206,'Contribution Allocation_Report'!$A$9:$D$314,4,FALSE)*$O$326,0)</f>
        <v>11020</v>
      </c>
      <c r="Q206" s="220">
        <f>+VLOOKUP(A206,'Change in Proportion Layers'!$AL$8:$AQ$322,2,FALSE)+K206</f>
        <v>-81057</v>
      </c>
      <c r="R206" s="220">
        <f>+VLOOKUP(A206,'Change in Proportion Layers'!$AL$8:$AQ$322,3,FALSE)+L206</f>
        <v>-129220</v>
      </c>
      <c r="S206" s="220">
        <f>+VLOOKUP(A206,'Change in Proportion Layers'!$AL$8:$AQ$322,4,FALSE)+M206</f>
        <v>-88129</v>
      </c>
      <c r="T206" s="220">
        <f>+VLOOKUP(A206,'Change in Proportion Layers'!$AL$8:$AQ$322,5,FALSE)+N206</f>
        <v>-19759</v>
      </c>
      <c r="U206" s="220">
        <f>+VLOOKUP(A206,'Change in Proportion Layers'!$AL$8:$AQ$322,6,FALSE)+O206-1</f>
        <v>21890</v>
      </c>
      <c r="W206" s="220">
        <f>('OPEB Amounts_Report'!H206-'OPEB Amounts_Report'!M206)</f>
        <v>-296275</v>
      </c>
      <c r="X206" s="245">
        <f t="shared" si="30"/>
        <v>0</v>
      </c>
    </row>
    <row r="207" spans="1:24" s="8" customFormat="1">
      <c r="A207" s="211">
        <v>20125</v>
      </c>
      <c r="B207" s="212" t="s">
        <v>194</v>
      </c>
      <c r="C207" s="46">
        <f t="shared" si="31"/>
        <v>-146279</v>
      </c>
      <c r="D207" s="46">
        <f t="shared" si="32"/>
        <v>-183611</v>
      </c>
      <c r="E207" s="46">
        <f t="shared" si="33"/>
        <v>-41967</v>
      </c>
      <c r="F207" s="46">
        <f t="shared" si="34"/>
        <v>30295</v>
      </c>
      <c r="G207" s="46">
        <f t="shared" si="35"/>
        <v>3706</v>
      </c>
      <c r="I207" s="49"/>
      <c r="K207" s="220">
        <f>ROUND(VLOOKUP($A207,'Contribution Allocation_Report'!$A$9:$D$314,4,FALSE)*$K$326,0)</f>
        <v>-169298</v>
      </c>
      <c r="L207" s="220">
        <f>ROUND(VLOOKUP($A207,'Contribution Allocation_Report'!$A$9:$D$314,4,FALSE)*$L$326,0)</f>
        <v>-232191</v>
      </c>
      <c r="M207" s="220">
        <f>ROUND(VLOOKUP($A207,'Contribution Allocation_Report'!$A$9:$D$314,4,FALSE)*$M$326,0)</f>
        <v>-151814</v>
      </c>
      <c r="N207" s="220">
        <f>ROUND(VLOOKUP($A207,'Contribution Allocation_Report'!$A$9:$D$314,4,FALSE)*$N$326,0)</f>
        <v>-38832</v>
      </c>
      <c r="O207" s="220">
        <f>ROUND(VLOOKUP($A207,'Contribution Allocation_Report'!$A$9:$D$314,4,FALSE)*$O$326,0)</f>
        <v>16716</v>
      </c>
      <c r="Q207" s="220">
        <f>+VLOOKUP(A207,'Change in Proportion Layers'!$AL$8:$AQ$322,2,FALSE)+K207</f>
        <v>-146279</v>
      </c>
      <c r="R207" s="220">
        <f>+VLOOKUP(A207,'Change in Proportion Layers'!$AL$8:$AQ$322,3,FALSE)+L207</f>
        <v>-183611</v>
      </c>
      <c r="S207" s="220">
        <f>+VLOOKUP(A207,'Change in Proportion Layers'!$AL$8:$AQ$322,4,FALSE)+M207</f>
        <v>-41967</v>
      </c>
      <c r="T207" s="220">
        <f>+VLOOKUP(A207,'Change in Proportion Layers'!$AL$8:$AQ$322,5,FALSE)+N207</f>
        <v>30295</v>
      </c>
      <c r="U207" s="220">
        <f>+VLOOKUP(A207,'Change in Proportion Layers'!$AL$8:$AQ$322,6,FALSE)+O207-1</f>
        <v>3706</v>
      </c>
      <c r="W207" s="220">
        <f>('OPEB Amounts_Report'!H207-'OPEB Amounts_Report'!M207)</f>
        <v>-337856</v>
      </c>
      <c r="X207" s="245">
        <f t="shared" si="30"/>
        <v>0</v>
      </c>
    </row>
    <row r="208" spans="1:24" s="192" customFormat="1">
      <c r="A208" s="209">
        <v>7445</v>
      </c>
      <c r="B208" s="210" t="s">
        <v>411</v>
      </c>
      <c r="C208" s="219">
        <f>+Q208</f>
        <v>106222</v>
      </c>
      <c r="D208" s="219">
        <f>+R208</f>
        <v>36303</v>
      </c>
      <c r="E208" s="219">
        <f>+S208</f>
        <v>27181</v>
      </c>
      <c r="F208" s="219">
        <f>+T208</f>
        <v>45623</v>
      </c>
      <c r="G208" s="219">
        <f>+U208</f>
        <v>21557</v>
      </c>
      <c r="I208" s="221"/>
      <c r="K208" s="220">
        <f>ROUND(VLOOKUP($A208,'Contribution Allocation_Report'!$A$9:$D$314,4,FALSE)*$K$326,0)</f>
        <v>-66943</v>
      </c>
      <c r="L208" s="220">
        <f>ROUND(VLOOKUP($A208,'Contribution Allocation_Report'!$A$9:$D$314,4,FALSE)*$L$326,0)</f>
        <v>-91812</v>
      </c>
      <c r="M208" s="220">
        <f>ROUND(VLOOKUP($A208,'Contribution Allocation_Report'!$A$9:$D$314,4,FALSE)*$M$326,0)</f>
        <v>-60030</v>
      </c>
      <c r="N208" s="220">
        <f>ROUND(VLOOKUP($A208,'Contribution Allocation_Report'!$A$9:$D$314,4,FALSE)*$N$326,0)</f>
        <v>-15355</v>
      </c>
      <c r="O208" s="220">
        <f>ROUND(VLOOKUP($A208,'Contribution Allocation_Report'!$A$9:$D$314,4,FALSE)*$O$326,0)</f>
        <v>6610</v>
      </c>
      <c r="Q208" s="220">
        <f>+VLOOKUP(A208,'Change in Proportion Layers'!$AL$8:$AQ$322,2,FALSE)+K208</f>
        <v>106222</v>
      </c>
      <c r="R208" s="220">
        <f>+VLOOKUP(A208,'Change in Proportion Layers'!$AL$8:$AQ$322,3,FALSE)+L208</f>
        <v>36303</v>
      </c>
      <c r="S208" s="220">
        <f>+VLOOKUP(A208,'Change in Proportion Layers'!$AL$8:$AQ$322,4,FALSE)+M208</f>
        <v>27181</v>
      </c>
      <c r="T208" s="220">
        <f>+VLOOKUP(A208,'Change in Proportion Layers'!$AL$8:$AQ$322,5,FALSE)+N208</f>
        <v>45623</v>
      </c>
      <c r="U208" s="220">
        <f>+VLOOKUP(A208,'Change in Proportion Layers'!$AL$8:$AQ$322,6,FALSE)+O208-1</f>
        <v>21557</v>
      </c>
      <c r="W208" s="220">
        <f>('OPEB Amounts_Report'!H208-'OPEB Amounts_Report'!M208)</f>
        <v>236886</v>
      </c>
      <c r="X208" s="245">
        <f t="shared" si="30"/>
        <v>0</v>
      </c>
    </row>
    <row r="209" spans="1:24" s="8" customFormat="1">
      <c r="A209" s="211">
        <v>9029</v>
      </c>
      <c r="B209" s="212" t="s">
        <v>196</v>
      </c>
      <c r="C209" s="46">
        <f t="shared" si="31"/>
        <v>-130585</v>
      </c>
      <c r="D209" s="46">
        <f t="shared" si="32"/>
        <v>-437868</v>
      </c>
      <c r="E209" s="46">
        <f t="shared" si="33"/>
        <v>-283477</v>
      </c>
      <c r="F209" s="46">
        <f t="shared" si="34"/>
        <v>-63690</v>
      </c>
      <c r="G209" s="46">
        <f t="shared" si="35"/>
        <v>5985</v>
      </c>
      <c r="I209" s="49"/>
      <c r="K209" s="220">
        <f>ROUND(VLOOKUP($A209,'Contribution Allocation_Report'!$A$9:$D$314,4,FALSE)*$K$326,0)</f>
        <v>-331094</v>
      </c>
      <c r="L209" s="220">
        <f>ROUND(VLOOKUP($A209,'Contribution Allocation_Report'!$A$9:$D$314,4,FALSE)*$L$326,0)</f>
        <v>-454095</v>
      </c>
      <c r="M209" s="220">
        <f>ROUND(VLOOKUP($A209,'Contribution Allocation_Report'!$A$9:$D$314,4,FALSE)*$M$326,0)</f>
        <v>-296902</v>
      </c>
      <c r="N209" s="220">
        <f>ROUND(VLOOKUP($A209,'Contribution Allocation_Report'!$A$9:$D$314,4,FALSE)*$N$326,0)</f>
        <v>-75943</v>
      </c>
      <c r="O209" s="220">
        <f>ROUND(VLOOKUP($A209,'Contribution Allocation_Report'!$A$9:$D$314,4,FALSE)*$O$326,0)</f>
        <v>32691</v>
      </c>
      <c r="Q209" s="220">
        <f>+VLOOKUP(A209,'Change in Proportion Layers'!$AL$8:$AQ$322,2,FALSE)+K209</f>
        <v>-130585</v>
      </c>
      <c r="R209" s="220">
        <f>+VLOOKUP(A209,'Change in Proportion Layers'!$AL$8:$AQ$322,3,FALSE)+L209</f>
        <v>-437868</v>
      </c>
      <c r="S209" s="220">
        <f>+VLOOKUP(A209,'Change in Proportion Layers'!$AL$8:$AQ$322,4,FALSE)+M209</f>
        <v>-283477</v>
      </c>
      <c r="T209" s="220">
        <f>+VLOOKUP(A209,'Change in Proportion Layers'!$AL$8:$AQ$322,5,FALSE)+N209</f>
        <v>-63690</v>
      </c>
      <c r="U209" s="220">
        <f>+VLOOKUP(A209,'Change in Proportion Layers'!$AL$8:$AQ$322,6,FALSE)+O209+1</f>
        <v>5985</v>
      </c>
      <c r="W209" s="220">
        <f>('OPEB Amounts_Report'!H209-'OPEB Amounts_Report'!M209)</f>
        <v>-909635</v>
      </c>
      <c r="X209" s="245">
        <f t="shared" si="30"/>
        <v>0</v>
      </c>
    </row>
    <row r="210" spans="1:24" s="8" customFormat="1">
      <c r="A210" s="209">
        <v>2580</v>
      </c>
      <c r="B210" s="210" t="s">
        <v>197</v>
      </c>
      <c r="C210" s="219">
        <f t="shared" si="31"/>
        <v>-81977</v>
      </c>
      <c r="D210" s="219">
        <f t="shared" si="32"/>
        <v>-77429</v>
      </c>
      <c r="E210" s="219">
        <f t="shared" si="33"/>
        <v>-53706</v>
      </c>
      <c r="F210" s="219">
        <f t="shared" si="34"/>
        <v>-14891</v>
      </c>
      <c r="G210" s="219">
        <f t="shared" si="35"/>
        <v>4136</v>
      </c>
      <c r="I210" s="49"/>
      <c r="K210" s="220">
        <f>ROUND(VLOOKUP($A210,'Contribution Allocation_Report'!$A$9:$D$314,4,FALSE)*$K$326,0)</f>
        <v>-39826</v>
      </c>
      <c r="L210" s="220">
        <f>ROUND(VLOOKUP($A210,'Contribution Allocation_Report'!$A$9:$D$314,4,FALSE)*$L$326,0)</f>
        <v>-54621</v>
      </c>
      <c r="M210" s="220">
        <f>ROUND(VLOOKUP($A210,'Contribution Allocation_Report'!$A$9:$D$314,4,FALSE)*$M$326,0)</f>
        <v>-35713</v>
      </c>
      <c r="N210" s="220">
        <f>ROUND(VLOOKUP($A210,'Contribution Allocation_Report'!$A$9:$D$314,4,FALSE)*$N$326,0)</f>
        <v>-9135</v>
      </c>
      <c r="O210" s="220">
        <f>ROUND(VLOOKUP($A210,'Contribution Allocation_Report'!$A$9:$D$314,4,FALSE)*$O$326,0)</f>
        <v>3932</v>
      </c>
      <c r="Q210" s="220">
        <f>+VLOOKUP(A210,'Change in Proportion Layers'!$AL$8:$AQ$322,2,FALSE)+K210</f>
        <v>-81977</v>
      </c>
      <c r="R210" s="220">
        <f>+VLOOKUP(A210,'Change in Proportion Layers'!$AL$8:$AQ$322,3,FALSE)+L210</f>
        <v>-77429</v>
      </c>
      <c r="S210" s="220">
        <f>+VLOOKUP(A210,'Change in Proportion Layers'!$AL$8:$AQ$322,4,FALSE)+M210</f>
        <v>-53706</v>
      </c>
      <c r="T210" s="220">
        <f>+VLOOKUP(A210,'Change in Proportion Layers'!$AL$8:$AQ$322,5,FALSE)+N210</f>
        <v>-14891</v>
      </c>
      <c r="U210" s="220">
        <f>+VLOOKUP(A210,'Change in Proportion Layers'!$AL$8:$AQ$322,6,FALSE)+O210</f>
        <v>4136</v>
      </c>
      <c r="W210" s="220">
        <f>('OPEB Amounts_Report'!H210-'OPEB Amounts_Report'!M210)</f>
        <v>-223867</v>
      </c>
      <c r="X210" s="245">
        <f t="shared" si="30"/>
        <v>0</v>
      </c>
    </row>
    <row r="211" spans="1:24" s="8" customFormat="1">
      <c r="A211" s="211">
        <v>20312</v>
      </c>
      <c r="B211" s="212" t="s">
        <v>198</v>
      </c>
      <c r="C211" s="46">
        <f t="shared" si="31"/>
        <v>-27403</v>
      </c>
      <c r="D211" s="46">
        <f t="shared" si="32"/>
        <v>-42193</v>
      </c>
      <c r="E211" s="46">
        <f t="shared" si="33"/>
        <v>-36087</v>
      </c>
      <c r="F211" s="46">
        <f t="shared" si="34"/>
        <v>-14967</v>
      </c>
      <c r="G211" s="46">
        <f t="shared" si="35"/>
        <v>-1401</v>
      </c>
      <c r="I211" s="49"/>
      <c r="K211" s="220">
        <f>ROUND(VLOOKUP($A211,'Contribution Allocation_Report'!$A$9:$D$314,4,FALSE)*$K$326,0)</f>
        <v>-32504</v>
      </c>
      <c r="L211" s="220">
        <f>ROUND(VLOOKUP($A211,'Contribution Allocation_Report'!$A$9:$D$314,4,FALSE)*$L$326,0)</f>
        <v>-44580</v>
      </c>
      <c r="M211" s="220">
        <f>ROUND(VLOOKUP($A211,'Contribution Allocation_Report'!$A$9:$D$314,4,FALSE)*$M$326,0)</f>
        <v>-29148</v>
      </c>
      <c r="N211" s="220">
        <f>ROUND(VLOOKUP($A211,'Contribution Allocation_Report'!$A$9:$D$314,4,FALSE)*$N$326,0)</f>
        <v>-7456</v>
      </c>
      <c r="O211" s="220">
        <f>ROUND(VLOOKUP($A211,'Contribution Allocation_Report'!$A$9:$D$314,4,FALSE)*$O$326,0)</f>
        <v>3209</v>
      </c>
      <c r="Q211" s="220">
        <f>+VLOOKUP(A211,'Change in Proportion Layers'!$AL$8:$AQ$322,2,FALSE)+K211</f>
        <v>-27403</v>
      </c>
      <c r="R211" s="220">
        <f>+VLOOKUP(A211,'Change in Proportion Layers'!$AL$8:$AQ$322,3,FALSE)+L211</f>
        <v>-42193</v>
      </c>
      <c r="S211" s="220">
        <f>+VLOOKUP(A211,'Change in Proportion Layers'!$AL$8:$AQ$322,4,FALSE)+M211</f>
        <v>-36087</v>
      </c>
      <c r="T211" s="220">
        <f>+VLOOKUP(A211,'Change in Proportion Layers'!$AL$8:$AQ$322,5,FALSE)+N211</f>
        <v>-14967</v>
      </c>
      <c r="U211" s="220">
        <f>+VLOOKUP(A211,'Change in Proportion Layers'!$AL$8:$AQ$322,6,FALSE)+O211+1</f>
        <v>-1401</v>
      </c>
      <c r="W211" s="220">
        <f>('OPEB Amounts_Report'!H211-'OPEB Amounts_Report'!M211)</f>
        <v>-122051</v>
      </c>
      <c r="X211" s="245">
        <f t="shared" ref="X211:X276" si="36">SUM(Q211:U211)-W211</f>
        <v>0</v>
      </c>
    </row>
    <row r="212" spans="1:24" s="8" customFormat="1">
      <c r="A212" s="209">
        <v>26150</v>
      </c>
      <c r="B212" s="210" t="s">
        <v>199</v>
      </c>
      <c r="C212" s="219">
        <f t="shared" si="31"/>
        <v>-236190</v>
      </c>
      <c r="D212" s="219">
        <f t="shared" si="32"/>
        <v>-326476</v>
      </c>
      <c r="E212" s="219">
        <f t="shared" si="33"/>
        <v>-200878</v>
      </c>
      <c r="F212" s="219">
        <f t="shared" si="34"/>
        <v>-72518</v>
      </c>
      <c r="G212" s="219">
        <f t="shared" si="35"/>
        <v>270</v>
      </c>
      <c r="I212" s="49"/>
      <c r="K212" s="220">
        <f>ROUND(VLOOKUP($A212,'Contribution Allocation_Report'!$A$9:$D$314,4,FALSE)*$K$326,0)</f>
        <v>-240913</v>
      </c>
      <c r="L212" s="220">
        <f>ROUND(VLOOKUP($A212,'Contribution Allocation_Report'!$A$9:$D$314,4,FALSE)*$L$326,0)</f>
        <v>-330412</v>
      </c>
      <c r="M212" s="220">
        <f>ROUND(VLOOKUP($A212,'Contribution Allocation_Report'!$A$9:$D$314,4,FALSE)*$M$326,0)</f>
        <v>-216034</v>
      </c>
      <c r="N212" s="220">
        <f>ROUND(VLOOKUP($A212,'Contribution Allocation_Report'!$A$9:$D$314,4,FALSE)*$N$326,0)</f>
        <v>-55258</v>
      </c>
      <c r="O212" s="220">
        <f>ROUND(VLOOKUP($A212,'Contribution Allocation_Report'!$A$9:$D$314,4,FALSE)*$O$326,0)</f>
        <v>23787</v>
      </c>
      <c r="Q212" s="220">
        <f>+VLOOKUP(A212,'Change in Proportion Layers'!$AL$8:$AQ$322,2,FALSE)+K212</f>
        <v>-236190</v>
      </c>
      <c r="R212" s="220">
        <f>+VLOOKUP(A212,'Change in Proportion Layers'!$AL$8:$AQ$322,3,FALSE)+L212</f>
        <v>-326476</v>
      </c>
      <c r="S212" s="220">
        <f>+VLOOKUP(A212,'Change in Proportion Layers'!$AL$8:$AQ$322,4,FALSE)+M212</f>
        <v>-200878</v>
      </c>
      <c r="T212" s="220">
        <f>+VLOOKUP(A212,'Change in Proportion Layers'!$AL$8:$AQ$322,5,FALSE)+N212</f>
        <v>-72518</v>
      </c>
      <c r="U212" s="220">
        <f>+VLOOKUP(A212,'Change in Proportion Layers'!$AL$8:$AQ$322,6,FALSE)+O212-1</f>
        <v>270</v>
      </c>
      <c r="W212" s="220">
        <f>('OPEB Amounts_Report'!H212-'OPEB Amounts_Report'!M212)</f>
        <v>-835792</v>
      </c>
      <c r="X212" s="245">
        <f t="shared" si="36"/>
        <v>0</v>
      </c>
    </row>
    <row r="213" spans="1:24" s="8" customFormat="1">
      <c r="A213" s="211">
        <v>5016</v>
      </c>
      <c r="B213" s="212" t="s">
        <v>200</v>
      </c>
      <c r="C213" s="46">
        <f t="shared" si="31"/>
        <v>-32421</v>
      </c>
      <c r="D213" s="46">
        <f t="shared" si="32"/>
        <v>-32392</v>
      </c>
      <c r="E213" s="46">
        <f t="shared" si="33"/>
        <v>-15916</v>
      </c>
      <c r="F213" s="46">
        <f t="shared" si="34"/>
        <v>6919</v>
      </c>
      <c r="G213" s="46">
        <f t="shared" si="35"/>
        <v>13512</v>
      </c>
      <c r="I213" s="49"/>
      <c r="K213" s="220">
        <f>ROUND(VLOOKUP($A213,'Contribution Allocation_Report'!$A$9:$D$314,4,FALSE)*$K$326,0)</f>
        <v>-35019</v>
      </c>
      <c r="L213" s="220">
        <f>ROUND(VLOOKUP($A213,'Contribution Allocation_Report'!$A$9:$D$314,4,FALSE)*$L$326,0)</f>
        <v>-48029</v>
      </c>
      <c r="M213" s="220">
        <f>ROUND(VLOOKUP($A213,'Contribution Allocation_Report'!$A$9:$D$314,4,FALSE)*$M$326,0)</f>
        <v>-31403</v>
      </c>
      <c r="N213" s="220">
        <f>ROUND(VLOOKUP($A213,'Contribution Allocation_Report'!$A$9:$D$314,4,FALSE)*$N$326,0)</f>
        <v>-8032</v>
      </c>
      <c r="O213" s="220">
        <f>ROUND(VLOOKUP($A213,'Contribution Allocation_Report'!$A$9:$D$314,4,FALSE)*$O$326,0)</f>
        <v>3458</v>
      </c>
      <c r="Q213" s="220">
        <f>+VLOOKUP(A213,'Change in Proportion Layers'!$AL$8:$AQ$322,2,FALSE)+K213</f>
        <v>-32421</v>
      </c>
      <c r="R213" s="220">
        <f>+VLOOKUP(A213,'Change in Proportion Layers'!$AL$8:$AQ$322,3,FALSE)+L213</f>
        <v>-32392</v>
      </c>
      <c r="S213" s="220">
        <f>+VLOOKUP(A213,'Change in Proportion Layers'!$AL$8:$AQ$322,4,FALSE)+M213</f>
        <v>-15916</v>
      </c>
      <c r="T213" s="220">
        <f>+VLOOKUP(A213,'Change in Proportion Layers'!$AL$8:$AQ$322,5,FALSE)+N213</f>
        <v>6919</v>
      </c>
      <c r="U213" s="220">
        <f>+VLOOKUP(A213,'Change in Proportion Layers'!$AL$8:$AQ$322,6,FALSE)+O213</f>
        <v>13512</v>
      </c>
      <c r="W213" s="220">
        <f>('OPEB Amounts_Report'!H213-'OPEB Amounts_Report'!M213)</f>
        <v>-60298</v>
      </c>
      <c r="X213" s="245">
        <f t="shared" si="36"/>
        <v>0</v>
      </c>
    </row>
    <row r="214" spans="1:24" s="8" customFormat="1">
      <c r="A214" s="209">
        <v>6150</v>
      </c>
      <c r="B214" s="210" t="s">
        <v>201</v>
      </c>
      <c r="C214" s="219">
        <f t="shared" si="31"/>
        <v>-4141</v>
      </c>
      <c r="D214" s="219">
        <f t="shared" si="32"/>
        <v>-29733</v>
      </c>
      <c r="E214" s="219">
        <f t="shared" si="33"/>
        <v>-9523</v>
      </c>
      <c r="F214" s="219">
        <f t="shared" si="34"/>
        <v>-1655</v>
      </c>
      <c r="G214" s="219">
        <f t="shared" si="35"/>
        <v>-15861</v>
      </c>
      <c r="I214" s="49"/>
      <c r="K214" s="220">
        <f>ROUND(VLOOKUP($A214,'Contribution Allocation_Report'!$A$9:$D$314,4,FALSE)*$K$326,0)</f>
        <v>-27645</v>
      </c>
      <c r="L214" s="220">
        <f>ROUND(VLOOKUP($A214,'Contribution Allocation_Report'!$A$9:$D$314,4,FALSE)*$L$326,0)</f>
        <v>-37916</v>
      </c>
      <c r="M214" s="220">
        <f>ROUND(VLOOKUP($A214,'Contribution Allocation_Report'!$A$9:$D$314,4,FALSE)*$M$326,0)</f>
        <v>-24790</v>
      </c>
      <c r="N214" s="220">
        <f>ROUND(VLOOKUP($A214,'Contribution Allocation_Report'!$A$9:$D$314,4,FALSE)*$N$326,0)</f>
        <v>-6341</v>
      </c>
      <c r="O214" s="220">
        <f>ROUND(VLOOKUP($A214,'Contribution Allocation_Report'!$A$9:$D$314,4,FALSE)*$O$326,0)</f>
        <v>2730</v>
      </c>
      <c r="Q214" s="220">
        <f>+VLOOKUP(A214,'Change in Proportion Layers'!$AL$8:$AQ$322,2,FALSE)+K214</f>
        <v>-4141</v>
      </c>
      <c r="R214" s="220">
        <f>+VLOOKUP(A214,'Change in Proportion Layers'!$AL$8:$AQ$322,3,FALSE)+L214</f>
        <v>-29733</v>
      </c>
      <c r="S214" s="220">
        <f>+VLOOKUP(A214,'Change in Proportion Layers'!$AL$8:$AQ$322,4,FALSE)+M214</f>
        <v>-9523</v>
      </c>
      <c r="T214" s="220">
        <f>+VLOOKUP(A214,'Change in Proportion Layers'!$AL$8:$AQ$322,5,FALSE)+N214</f>
        <v>-1655</v>
      </c>
      <c r="U214" s="220">
        <f>+VLOOKUP(A214,'Change in Proportion Layers'!$AL$8:$AQ$322,6,FALSE)+O214-2</f>
        <v>-15861</v>
      </c>
      <c r="W214" s="220">
        <f>('OPEB Amounts_Report'!H214-'OPEB Amounts_Report'!M214)</f>
        <v>-60913</v>
      </c>
      <c r="X214" s="245">
        <f t="shared" si="36"/>
        <v>0</v>
      </c>
    </row>
    <row r="215" spans="1:24" s="8" customFormat="1">
      <c r="A215" s="211">
        <v>4480</v>
      </c>
      <c r="B215" s="212" t="s">
        <v>202</v>
      </c>
      <c r="C215" s="46">
        <f t="shared" si="31"/>
        <v>-75045</v>
      </c>
      <c r="D215" s="46">
        <f t="shared" si="32"/>
        <v>-82410</v>
      </c>
      <c r="E215" s="46">
        <f t="shared" si="33"/>
        <v>-42741</v>
      </c>
      <c r="F215" s="46">
        <f t="shared" si="34"/>
        <v>-583</v>
      </c>
      <c r="G215" s="46">
        <f t="shared" si="35"/>
        <v>5350</v>
      </c>
      <c r="I215" s="49"/>
      <c r="K215" s="220">
        <f>ROUND(VLOOKUP($A215,'Contribution Allocation_Report'!$A$9:$D$314,4,FALSE)*$K$326,0)</f>
        <v>-46533</v>
      </c>
      <c r="L215" s="220">
        <f>ROUND(VLOOKUP($A215,'Contribution Allocation_Report'!$A$9:$D$314,4,FALSE)*$L$326,0)</f>
        <v>-63820</v>
      </c>
      <c r="M215" s="220">
        <f>ROUND(VLOOKUP($A215,'Contribution Allocation_Report'!$A$9:$D$314,4,FALSE)*$M$326,0)</f>
        <v>-41728</v>
      </c>
      <c r="N215" s="220">
        <f>ROUND(VLOOKUP($A215,'Contribution Allocation_Report'!$A$9:$D$314,4,FALSE)*$N$326,0)</f>
        <v>-10673</v>
      </c>
      <c r="O215" s="220">
        <f>ROUND(VLOOKUP($A215,'Contribution Allocation_Report'!$A$9:$D$314,4,FALSE)*$O$326,0)</f>
        <v>4595</v>
      </c>
      <c r="Q215" s="220">
        <f>+VLOOKUP(A215,'Change in Proportion Layers'!$AL$8:$AQ$322,2,FALSE)+K215</f>
        <v>-75045</v>
      </c>
      <c r="R215" s="220">
        <f>+VLOOKUP(A215,'Change in Proportion Layers'!$AL$8:$AQ$322,3,FALSE)+L215</f>
        <v>-82410</v>
      </c>
      <c r="S215" s="220">
        <f>+VLOOKUP(A215,'Change in Proportion Layers'!$AL$8:$AQ$322,4,FALSE)+M215</f>
        <v>-42741</v>
      </c>
      <c r="T215" s="220">
        <f>+VLOOKUP(A215,'Change in Proportion Layers'!$AL$8:$AQ$322,5,FALSE)+N215</f>
        <v>-583</v>
      </c>
      <c r="U215" s="220">
        <f>+VLOOKUP(A215,'Change in Proportion Layers'!$AL$8:$AQ$322,6,FALSE)+O215-2</f>
        <v>5350</v>
      </c>
      <c r="W215" s="220">
        <f>('OPEB Amounts_Report'!H215-'OPEB Amounts_Report'!M215)</f>
        <v>-195429</v>
      </c>
      <c r="X215" s="245">
        <f t="shared" si="36"/>
        <v>0</v>
      </c>
    </row>
    <row r="216" spans="1:24" s="8" customFormat="1">
      <c r="A216" s="209">
        <v>28085</v>
      </c>
      <c r="B216" s="210" t="s">
        <v>203</v>
      </c>
      <c r="C216" s="219">
        <f t="shared" si="31"/>
        <v>-102089</v>
      </c>
      <c r="D216" s="219">
        <f t="shared" si="32"/>
        <v>-132987</v>
      </c>
      <c r="E216" s="219">
        <f t="shared" si="33"/>
        <v>-75287</v>
      </c>
      <c r="F216" s="219">
        <f t="shared" si="34"/>
        <v>-19473</v>
      </c>
      <c r="G216" s="219">
        <f t="shared" si="35"/>
        <v>1449</v>
      </c>
      <c r="I216" s="49"/>
      <c r="K216" s="220">
        <f>ROUND(VLOOKUP($A216,'Contribution Allocation_Report'!$A$9:$D$314,4,FALSE)*$K$326,0)</f>
        <v>-87028</v>
      </c>
      <c r="L216" s="220">
        <f>ROUND(VLOOKUP($A216,'Contribution Allocation_Report'!$A$9:$D$314,4,FALSE)*$L$326,0)</f>
        <v>-119359</v>
      </c>
      <c r="M216" s="220">
        <f>ROUND(VLOOKUP($A216,'Contribution Allocation_Report'!$A$9:$D$314,4,FALSE)*$M$326,0)</f>
        <v>-78040</v>
      </c>
      <c r="N216" s="220">
        <f>ROUND(VLOOKUP($A216,'Contribution Allocation_Report'!$A$9:$D$314,4,FALSE)*$N$326,0)</f>
        <v>-19962</v>
      </c>
      <c r="O216" s="220">
        <f>ROUND(VLOOKUP($A216,'Contribution Allocation_Report'!$A$9:$D$314,4,FALSE)*$O$326,0)</f>
        <v>8593</v>
      </c>
      <c r="Q216" s="220">
        <f>+VLOOKUP(A216,'Change in Proportion Layers'!$AL$8:$AQ$322,2,FALSE)+K216</f>
        <v>-102089</v>
      </c>
      <c r="R216" s="220">
        <f>+VLOOKUP(A216,'Change in Proportion Layers'!$AL$8:$AQ$322,3,FALSE)+L216</f>
        <v>-132987</v>
      </c>
      <c r="S216" s="220">
        <f>+VLOOKUP(A216,'Change in Proportion Layers'!$AL$8:$AQ$322,4,FALSE)+M216</f>
        <v>-75287</v>
      </c>
      <c r="T216" s="220">
        <f>+VLOOKUP(A216,'Change in Proportion Layers'!$AL$8:$AQ$322,5,FALSE)+N216</f>
        <v>-19473</v>
      </c>
      <c r="U216" s="220">
        <f>+VLOOKUP(A216,'Change in Proportion Layers'!$AL$8:$AQ$322,6,FALSE)+O216+1</f>
        <v>1449</v>
      </c>
      <c r="W216" s="220">
        <f>('OPEB Amounts_Report'!H216-'OPEB Amounts_Report'!M216)</f>
        <v>-328387</v>
      </c>
      <c r="X216" s="245">
        <f t="shared" si="36"/>
        <v>0</v>
      </c>
    </row>
    <row r="217" spans="1:24" s="8" customFormat="1">
      <c r="A217" s="211">
        <v>3240</v>
      </c>
      <c r="B217" s="212" t="s">
        <v>204</v>
      </c>
      <c r="C217" s="46">
        <f t="shared" si="31"/>
        <v>-682566</v>
      </c>
      <c r="D217" s="46">
        <f t="shared" si="32"/>
        <v>-828273</v>
      </c>
      <c r="E217" s="46">
        <f t="shared" si="33"/>
        <v>-630438</v>
      </c>
      <c r="F217" s="46">
        <f t="shared" si="34"/>
        <v>-160648</v>
      </c>
      <c r="G217" s="46">
        <f t="shared" si="35"/>
        <v>147463</v>
      </c>
      <c r="I217" s="49"/>
      <c r="K217" s="220">
        <f>ROUND(VLOOKUP($A217,'Contribution Allocation_Report'!$A$9:$D$314,4,FALSE)*$K$326,0)</f>
        <v>-505576</v>
      </c>
      <c r="L217" s="220">
        <f>ROUND(VLOOKUP($A217,'Contribution Allocation_Report'!$A$9:$D$314,4,FALSE)*$L$326,0)</f>
        <v>-693395</v>
      </c>
      <c r="M217" s="220">
        <f>ROUND(VLOOKUP($A217,'Contribution Allocation_Report'!$A$9:$D$314,4,FALSE)*$M$326,0)</f>
        <v>-453364</v>
      </c>
      <c r="N217" s="220">
        <f>ROUND(VLOOKUP($A217,'Contribution Allocation_Report'!$A$9:$D$314,4,FALSE)*$N$326,0)</f>
        <v>-115964</v>
      </c>
      <c r="O217" s="220">
        <f>ROUND(VLOOKUP($A217,'Contribution Allocation_Report'!$A$9:$D$314,4,FALSE)*$O$326,0)</f>
        <v>49919</v>
      </c>
      <c r="Q217" s="220">
        <f>+VLOOKUP(A217,'Change in Proportion Layers'!$AL$8:$AQ$322,2,FALSE)+K217</f>
        <v>-682566</v>
      </c>
      <c r="R217" s="220">
        <f>+VLOOKUP(A217,'Change in Proportion Layers'!$AL$8:$AQ$322,3,FALSE)+L217</f>
        <v>-828273</v>
      </c>
      <c r="S217" s="220">
        <f>+VLOOKUP(A217,'Change in Proportion Layers'!$AL$8:$AQ$322,4,FALSE)+M217</f>
        <v>-630438</v>
      </c>
      <c r="T217" s="220">
        <f>+VLOOKUP(A217,'Change in Proportion Layers'!$AL$8:$AQ$322,5,FALSE)+N217</f>
        <v>-160648</v>
      </c>
      <c r="U217" s="220">
        <f>+VLOOKUP(A217,'Change in Proportion Layers'!$AL$8:$AQ$322,6,FALSE)+O217+1</f>
        <v>147463</v>
      </c>
      <c r="W217" s="220">
        <f>('OPEB Amounts_Report'!H217-'OPEB Amounts_Report'!M217)</f>
        <v>-2154462</v>
      </c>
      <c r="X217" s="245">
        <f t="shared" si="36"/>
        <v>0</v>
      </c>
    </row>
    <row r="218" spans="1:24" s="8" customFormat="1">
      <c r="A218" s="209">
        <v>12326</v>
      </c>
      <c r="B218" s="210" t="s">
        <v>205</v>
      </c>
      <c r="C218" s="219">
        <f t="shared" si="31"/>
        <v>-1976</v>
      </c>
      <c r="D218" s="219">
        <f t="shared" si="32"/>
        <v>-34645</v>
      </c>
      <c r="E218" s="219">
        <f t="shared" si="33"/>
        <v>-7674</v>
      </c>
      <c r="F218" s="219">
        <f t="shared" si="34"/>
        <v>15543</v>
      </c>
      <c r="G218" s="219">
        <f t="shared" si="35"/>
        <v>12525</v>
      </c>
      <c r="I218" s="49"/>
      <c r="K218" s="220">
        <f>ROUND(VLOOKUP($A218,'Contribution Allocation_Report'!$A$9:$D$314,4,FALSE)*$K$326,0)</f>
        <v>-45446</v>
      </c>
      <c r="L218" s="220">
        <f>ROUND(VLOOKUP($A218,'Contribution Allocation_Report'!$A$9:$D$314,4,FALSE)*$L$326,0)</f>
        <v>-62329</v>
      </c>
      <c r="M218" s="220">
        <f>ROUND(VLOOKUP($A218,'Contribution Allocation_Report'!$A$9:$D$314,4,FALSE)*$M$326,0)</f>
        <v>-40752</v>
      </c>
      <c r="N218" s="220">
        <f>ROUND(VLOOKUP($A218,'Contribution Allocation_Report'!$A$9:$D$314,4,FALSE)*$N$326,0)</f>
        <v>-10424</v>
      </c>
      <c r="O218" s="220">
        <f>ROUND(VLOOKUP($A218,'Contribution Allocation_Report'!$A$9:$D$314,4,FALSE)*$O$326,0)</f>
        <v>4487</v>
      </c>
      <c r="Q218" s="220">
        <f>+VLOOKUP(A218,'Change in Proportion Layers'!$AL$8:$AQ$322,2,FALSE)+K218</f>
        <v>-1976</v>
      </c>
      <c r="R218" s="220">
        <f>+VLOOKUP(A218,'Change in Proportion Layers'!$AL$8:$AQ$322,3,FALSE)+L218</f>
        <v>-34645</v>
      </c>
      <c r="S218" s="220">
        <f>+VLOOKUP(A218,'Change in Proportion Layers'!$AL$8:$AQ$322,4,FALSE)+M218</f>
        <v>-7674</v>
      </c>
      <c r="T218" s="220">
        <f>+VLOOKUP(A218,'Change in Proportion Layers'!$AL$8:$AQ$322,5,FALSE)+N218</f>
        <v>15543</v>
      </c>
      <c r="U218" s="220">
        <f>+VLOOKUP(A218,'Change in Proportion Layers'!$AL$8:$AQ$322,6,FALSE)+O218</f>
        <v>12525</v>
      </c>
      <c r="W218" s="220">
        <f>('OPEB Amounts_Report'!H218-'OPEB Amounts_Report'!M218)</f>
        <v>-16227</v>
      </c>
      <c r="X218" s="245">
        <f t="shared" si="36"/>
        <v>0</v>
      </c>
    </row>
    <row r="219" spans="1:24" s="192" customFormat="1">
      <c r="A219" s="211">
        <v>2445</v>
      </c>
      <c r="B219" s="212" t="s">
        <v>446</v>
      </c>
      <c r="C219" s="46">
        <f t="shared" ref="C219" si="37">+Q219</f>
        <v>53142</v>
      </c>
      <c r="D219" s="46">
        <f t="shared" ref="D219" si="38">+R219</f>
        <v>37431</v>
      </c>
      <c r="E219" s="46">
        <f t="shared" ref="E219" si="39">+S219</f>
        <v>54797</v>
      </c>
      <c r="F219" s="46">
        <f t="shared" ref="F219" si="40">+T219</f>
        <v>55893</v>
      </c>
      <c r="G219" s="46">
        <f t="shared" ref="G219" si="41">+U219</f>
        <v>32983</v>
      </c>
      <c r="I219" s="221"/>
      <c r="K219" s="220">
        <f>ROUND(VLOOKUP($A219,'Contribution Allocation_Report'!$A$9:$D$314,4,FALSE)*$K$326,0)</f>
        <v>-42290</v>
      </c>
      <c r="L219" s="220">
        <f>ROUND(VLOOKUP($A219,'Contribution Allocation_Report'!$A$9:$D$314,4,FALSE)*$L$326,0)</f>
        <v>-58001</v>
      </c>
      <c r="M219" s="220">
        <f>ROUND(VLOOKUP($A219,'Contribution Allocation_Report'!$A$9:$D$314,4,FALSE)*$M$326,0)</f>
        <v>-37923</v>
      </c>
      <c r="N219" s="220">
        <f>ROUND(VLOOKUP($A219,'Contribution Allocation_Report'!$A$9:$D$314,4,FALSE)*$N$326,0)</f>
        <v>-9700</v>
      </c>
      <c r="O219" s="220">
        <f>ROUND(VLOOKUP($A219,'Contribution Allocation_Report'!$A$9:$D$314,4,FALSE)*$O$326,0)</f>
        <v>4176</v>
      </c>
      <c r="Q219" s="220">
        <f>+VLOOKUP(A219,'Change in Proportion Layers'!$AL$8:$AQ$322,2,FALSE)+K219</f>
        <v>53142</v>
      </c>
      <c r="R219" s="220">
        <f>+VLOOKUP(A219,'Change in Proportion Layers'!$AL$8:$AQ$322,3,FALSE)+L219</f>
        <v>37431</v>
      </c>
      <c r="S219" s="220">
        <f>+VLOOKUP(A219,'Change in Proportion Layers'!$AL$8:$AQ$322,4,FALSE)+M219</f>
        <v>54797</v>
      </c>
      <c r="T219" s="220">
        <f>+VLOOKUP(A219,'Change in Proportion Layers'!$AL$8:$AQ$322,5,FALSE)+N219</f>
        <v>55893</v>
      </c>
      <c r="U219" s="220">
        <f>+VLOOKUP(A219,'Change in Proportion Layers'!$AL$8:$AQ$322,6,FALSE)+O219</f>
        <v>32983</v>
      </c>
      <c r="W219" s="220">
        <f>('OPEB Amounts_Report'!H219-'OPEB Amounts_Report'!M219)</f>
        <v>234246</v>
      </c>
      <c r="X219" s="245">
        <f t="shared" si="36"/>
        <v>0</v>
      </c>
    </row>
    <row r="220" spans="1:24" s="8" customFormat="1">
      <c r="A220" s="209">
        <v>29123</v>
      </c>
      <c r="B220" s="210" t="s">
        <v>206</v>
      </c>
      <c r="C220" s="219">
        <f t="shared" si="31"/>
        <v>-3123054</v>
      </c>
      <c r="D220" s="219">
        <f t="shared" si="32"/>
        <v>-8848472</v>
      </c>
      <c r="E220" s="219">
        <f t="shared" si="33"/>
        <v>-5365365</v>
      </c>
      <c r="F220" s="219">
        <f t="shared" si="34"/>
        <v>-1090623</v>
      </c>
      <c r="G220" s="219">
        <f t="shared" si="35"/>
        <v>265135</v>
      </c>
      <c r="I220" s="49"/>
      <c r="K220" s="220">
        <f>ROUND(VLOOKUP($A220,'Contribution Allocation_Report'!$A$9:$D$314,4,FALSE)*$K$326,0)</f>
        <v>-6367775</v>
      </c>
      <c r="L220" s="220">
        <f>ROUND(VLOOKUP($A220,'Contribution Allocation_Report'!$A$9:$D$314,4,FALSE)*$L$326,0)</f>
        <v>-8733383</v>
      </c>
      <c r="M220" s="220">
        <f>ROUND(VLOOKUP($A220,'Contribution Allocation_Report'!$A$9:$D$314,4,FALSE)*$M$326,0)</f>
        <v>-5710164</v>
      </c>
      <c r="N220" s="220">
        <f>ROUND(VLOOKUP($A220,'Contribution Allocation_Report'!$A$9:$D$314,4,FALSE)*$N$326,0)</f>
        <v>-1460579</v>
      </c>
      <c r="O220" s="220">
        <f>ROUND(VLOOKUP($A220,'Contribution Allocation_Report'!$A$9:$D$314,4,FALSE)*$O$326,0)</f>
        <v>628735</v>
      </c>
      <c r="Q220" s="220">
        <f>+VLOOKUP(A220,'Change in Proportion Layers'!$AL$8:$AQ$322,2,FALSE)+K220</f>
        <v>-3123054</v>
      </c>
      <c r="R220" s="220">
        <f>+VLOOKUP(A220,'Change in Proportion Layers'!$AL$8:$AQ$322,3,FALSE)+L220</f>
        <v>-8848472</v>
      </c>
      <c r="S220" s="220">
        <f>+VLOOKUP(A220,'Change in Proportion Layers'!$AL$8:$AQ$322,4,FALSE)+M220</f>
        <v>-5365365</v>
      </c>
      <c r="T220" s="220">
        <f>+VLOOKUP(A220,'Change in Proportion Layers'!$AL$8:$AQ$322,5,FALSE)+N220</f>
        <v>-1090623</v>
      </c>
      <c r="U220" s="220">
        <f>+VLOOKUP(A220,'Change in Proportion Layers'!$AL$8:$AQ$322,6,FALSE)+O220-1</f>
        <v>265135</v>
      </c>
      <c r="W220" s="220">
        <f>('OPEB Amounts_Report'!H220-'OPEB Amounts_Report'!M220)</f>
        <v>-18162379</v>
      </c>
      <c r="X220" s="245">
        <f t="shared" si="36"/>
        <v>0</v>
      </c>
    </row>
    <row r="221" spans="1:24" s="8" customFormat="1">
      <c r="A221" s="209">
        <v>2318</v>
      </c>
      <c r="B221" s="210" t="s">
        <v>207</v>
      </c>
      <c r="C221" s="47">
        <f t="shared" si="31"/>
        <v>-107345</v>
      </c>
      <c r="D221" s="47">
        <f t="shared" si="32"/>
        <v>-177550</v>
      </c>
      <c r="E221" s="47">
        <f t="shared" si="33"/>
        <v>-124909</v>
      </c>
      <c r="F221" s="47">
        <f t="shared" si="34"/>
        <v>-49925</v>
      </c>
      <c r="G221" s="47">
        <f t="shared" si="35"/>
        <v>-50805</v>
      </c>
      <c r="I221" s="49"/>
      <c r="K221" s="220">
        <f>ROUND(VLOOKUP($A221,'Contribution Allocation_Report'!$A$9:$D$314,4,FALSE)*$K$326,0)</f>
        <v>-134717</v>
      </c>
      <c r="L221" s="220">
        <f>ROUND(VLOOKUP($A221,'Contribution Allocation_Report'!$A$9:$D$314,4,FALSE)*$L$326,0)</f>
        <v>-184764</v>
      </c>
      <c r="M221" s="220">
        <f>ROUND(VLOOKUP($A221,'Contribution Allocation_Report'!$A$9:$D$314,4,FALSE)*$M$326,0)</f>
        <v>-120804</v>
      </c>
      <c r="N221" s="220">
        <f>ROUND(VLOOKUP($A221,'Contribution Allocation_Report'!$A$9:$D$314,4,FALSE)*$N$326,0)</f>
        <v>-30900</v>
      </c>
      <c r="O221" s="220">
        <f>ROUND(VLOOKUP($A221,'Contribution Allocation_Report'!$A$9:$D$314,4,FALSE)*$O$326,0)</f>
        <v>13302</v>
      </c>
      <c r="Q221" s="220">
        <f>+VLOOKUP(A221,'Change in Proportion Layers'!$AL$8:$AQ$322,2,FALSE)+K221</f>
        <v>-107345</v>
      </c>
      <c r="R221" s="220">
        <f>+VLOOKUP(A221,'Change in Proportion Layers'!$AL$8:$AQ$322,3,FALSE)+L221</f>
        <v>-177550</v>
      </c>
      <c r="S221" s="220">
        <f>+VLOOKUP(A221,'Change in Proportion Layers'!$AL$8:$AQ$322,4,FALSE)+M221</f>
        <v>-124909</v>
      </c>
      <c r="T221" s="220">
        <f>+VLOOKUP(A221,'Change in Proportion Layers'!$AL$8:$AQ$322,5,FALSE)+N221</f>
        <v>-49925</v>
      </c>
      <c r="U221" s="220">
        <f>+VLOOKUP(A221,'Change in Proportion Layers'!$AL$8:$AQ$322,6,FALSE)+O221-1</f>
        <v>-50805</v>
      </c>
      <c r="W221" s="220">
        <f>('OPEB Amounts_Report'!H221-'OPEB Amounts_Report'!M221)</f>
        <v>-510534</v>
      </c>
      <c r="X221" s="245">
        <f t="shared" si="36"/>
        <v>0</v>
      </c>
    </row>
    <row r="222" spans="1:24" s="8" customFormat="1">
      <c r="A222" s="211">
        <v>3250</v>
      </c>
      <c r="B222" s="212" t="s">
        <v>208</v>
      </c>
      <c r="C222" s="46">
        <f t="shared" si="31"/>
        <v>-249934</v>
      </c>
      <c r="D222" s="46">
        <f t="shared" si="32"/>
        <v>-287297</v>
      </c>
      <c r="E222" s="46">
        <f t="shared" si="33"/>
        <v>-187302</v>
      </c>
      <c r="F222" s="46">
        <f t="shared" si="34"/>
        <v>-80881</v>
      </c>
      <c r="G222" s="46">
        <f t="shared" si="35"/>
        <v>-5883</v>
      </c>
      <c r="I222" s="49"/>
      <c r="K222" s="220">
        <f>ROUND(VLOOKUP($A222,'Contribution Allocation_Report'!$A$9:$D$314,4,FALSE)*$K$326,0)</f>
        <v>-176979</v>
      </c>
      <c r="L222" s="220">
        <f>ROUND(VLOOKUP($A222,'Contribution Allocation_Report'!$A$9:$D$314,4,FALSE)*$L$326,0)</f>
        <v>-242726</v>
      </c>
      <c r="M222" s="220">
        <f>ROUND(VLOOKUP($A222,'Contribution Allocation_Report'!$A$9:$D$314,4,FALSE)*$M$326,0)</f>
        <v>-158702</v>
      </c>
      <c r="N222" s="220">
        <f>ROUND(VLOOKUP($A222,'Contribution Allocation_Report'!$A$9:$D$314,4,FALSE)*$N$326,0)</f>
        <v>-40594</v>
      </c>
      <c r="O222" s="220">
        <f>ROUND(VLOOKUP($A222,'Contribution Allocation_Report'!$A$9:$D$314,4,FALSE)*$O$326,0)</f>
        <v>17474</v>
      </c>
      <c r="Q222" s="220">
        <f>+VLOOKUP(A222,'Change in Proportion Layers'!$AL$8:$AQ$322,2,FALSE)+K222</f>
        <v>-249934</v>
      </c>
      <c r="R222" s="220">
        <f>+VLOOKUP(A222,'Change in Proportion Layers'!$AL$8:$AQ$322,3,FALSE)+L222</f>
        <v>-287297</v>
      </c>
      <c r="S222" s="220">
        <f>+VLOOKUP(A222,'Change in Proportion Layers'!$AL$8:$AQ$322,4,FALSE)+M222</f>
        <v>-187302</v>
      </c>
      <c r="T222" s="220">
        <f>+VLOOKUP(A222,'Change in Proportion Layers'!$AL$8:$AQ$322,5,FALSE)+N222</f>
        <v>-80881</v>
      </c>
      <c r="U222" s="220">
        <f>+VLOOKUP(A222,'Change in Proportion Layers'!$AL$8:$AQ$322,6,FALSE)+O222+1</f>
        <v>-5883</v>
      </c>
      <c r="W222" s="220">
        <f>('OPEB Amounts_Report'!H222-'OPEB Amounts_Report'!M222)</f>
        <v>-811297</v>
      </c>
      <c r="X222" s="245">
        <f t="shared" si="36"/>
        <v>0</v>
      </c>
    </row>
    <row r="223" spans="1:24" s="8" customFormat="1">
      <c r="A223" s="209">
        <v>2313</v>
      </c>
      <c r="B223" s="210" t="s">
        <v>209</v>
      </c>
      <c r="C223" s="219">
        <f t="shared" si="31"/>
        <v>-7621</v>
      </c>
      <c r="D223" s="219">
        <f t="shared" si="32"/>
        <v>-16091</v>
      </c>
      <c r="E223" s="219">
        <f t="shared" si="33"/>
        <v>-9389</v>
      </c>
      <c r="F223" s="219">
        <f t="shared" si="34"/>
        <v>-3487</v>
      </c>
      <c r="G223" s="219">
        <f t="shared" si="35"/>
        <v>4253</v>
      </c>
      <c r="I223" s="49"/>
      <c r="K223" s="220">
        <f>ROUND(VLOOKUP($A223,'Contribution Allocation_Report'!$A$9:$D$314,4,FALSE)*$K$326,0)</f>
        <v>-25516</v>
      </c>
      <c r="L223" s="220">
        <f>ROUND(VLOOKUP($A223,'Contribution Allocation_Report'!$A$9:$D$314,4,FALSE)*$L$326,0)</f>
        <v>-34996</v>
      </c>
      <c r="M223" s="220">
        <f>ROUND(VLOOKUP($A223,'Contribution Allocation_Report'!$A$9:$D$314,4,FALSE)*$M$326,0)</f>
        <v>-22881</v>
      </c>
      <c r="N223" s="220">
        <f>ROUND(VLOOKUP($A223,'Contribution Allocation_Report'!$A$9:$D$314,4,FALSE)*$N$326,0)</f>
        <v>-5853</v>
      </c>
      <c r="O223" s="220">
        <f>ROUND(VLOOKUP($A223,'Contribution Allocation_Report'!$A$9:$D$314,4,FALSE)*$O$326,0)</f>
        <v>2519</v>
      </c>
      <c r="Q223" s="220">
        <f>+VLOOKUP(A223,'Change in Proportion Layers'!$AL$8:$AQ$322,2,FALSE)+K223</f>
        <v>-7621</v>
      </c>
      <c r="R223" s="220">
        <f>+VLOOKUP(A223,'Change in Proportion Layers'!$AL$8:$AQ$322,3,FALSE)+L223</f>
        <v>-16091</v>
      </c>
      <c r="S223" s="220">
        <f>+VLOOKUP(A223,'Change in Proportion Layers'!$AL$8:$AQ$322,4,FALSE)+M223</f>
        <v>-9389</v>
      </c>
      <c r="T223" s="220">
        <f>+VLOOKUP(A223,'Change in Proportion Layers'!$AL$8:$AQ$322,5,FALSE)+N223</f>
        <v>-3487</v>
      </c>
      <c r="U223" s="220">
        <f>+VLOOKUP(A223,'Change in Proportion Layers'!$AL$8:$AQ$322,6,FALSE)+O223+1</f>
        <v>4253</v>
      </c>
      <c r="W223" s="220">
        <f>('OPEB Amounts_Report'!H223-'OPEB Amounts_Report'!M223)</f>
        <v>-32335</v>
      </c>
      <c r="X223" s="245">
        <f t="shared" si="36"/>
        <v>0</v>
      </c>
    </row>
    <row r="224" spans="1:24" s="8" customFormat="1">
      <c r="A224" s="211">
        <v>4011</v>
      </c>
      <c r="B224" s="212" t="s">
        <v>210</v>
      </c>
      <c r="C224" s="46">
        <f t="shared" si="31"/>
        <v>-2889369</v>
      </c>
      <c r="D224" s="46">
        <f t="shared" si="32"/>
        <v>-4458334</v>
      </c>
      <c r="E224" s="46">
        <f t="shared" si="33"/>
        <v>-2993698</v>
      </c>
      <c r="F224" s="46">
        <f t="shared" si="34"/>
        <v>-838923</v>
      </c>
      <c r="G224" s="46">
        <f t="shared" si="35"/>
        <v>177088</v>
      </c>
      <c r="I224" s="49"/>
      <c r="K224" s="220">
        <f>ROUND(VLOOKUP($A224,'Contribution Allocation_Report'!$A$9:$D$314,4,FALSE)*$K$326,0)</f>
        <v>-3639288</v>
      </c>
      <c r="L224" s="220">
        <f>ROUND(VLOOKUP($A224,'Contribution Allocation_Report'!$A$9:$D$314,4,FALSE)*$L$326,0)</f>
        <v>-4991271</v>
      </c>
      <c r="M224" s="220">
        <f>ROUND(VLOOKUP($A224,'Contribution Allocation_Report'!$A$9:$D$314,4,FALSE)*$M$326,0)</f>
        <v>-3263452</v>
      </c>
      <c r="N224" s="220">
        <f>ROUND(VLOOKUP($A224,'Contribution Allocation_Report'!$A$9:$D$314,4,FALSE)*$N$326,0)</f>
        <v>-834745</v>
      </c>
      <c r="O224" s="220">
        <f>ROUND(VLOOKUP($A224,'Contribution Allocation_Report'!$A$9:$D$314,4,FALSE)*$O$326,0)</f>
        <v>359332</v>
      </c>
      <c r="Q224" s="220">
        <f>+VLOOKUP(A224,'Change in Proportion Layers'!$AL$8:$AQ$322,2,FALSE)+K224</f>
        <v>-2889369</v>
      </c>
      <c r="R224" s="220">
        <f>+VLOOKUP(A224,'Change in Proportion Layers'!$AL$8:$AQ$322,3,FALSE)+L224</f>
        <v>-4458334</v>
      </c>
      <c r="S224" s="220">
        <f>+VLOOKUP(A224,'Change in Proportion Layers'!$AL$8:$AQ$322,4,FALSE)+M224</f>
        <v>-2993698</v>
      </c>
      <c r="T224" s="220">
        <f>+VLOOKUP(A224,'Change in Proportion Layers'!$AL$8:$AQ$322,5,FALSE)+N224</f>
        <v>-838923</v>
      </c>
      <c r="U224" s="220">
        <f>+VLOOKUP(A224,'Change in Proportion Layers'!$AL$8:$AQ$322,6,FALSE)+O224</f>
        <v>177088</v>
      </c>
      <c r="W224" s="220">
        <f>('OPEB Amounts_Report'!H224-'OPEB Amounts_Report'!M224)</f>
        <v>-11003236</v>
      </c>
      <c r="X224" s="245">
        <f t="shared" si="36"/>
        <v>0</v>
      </c>
    </row>
    <row r="225" spans="1:24" s="8" customFormat="1">
      <c r="A225" s="209">
        <v>31092</v>
      </c>
      <c r="B225" s="210" t="s">
        <v>211</v>
      </c>
      <c r="C225" s="219">
        <f t="shared" si="31"/>
        <v>-45033</v>
      </c>
      <c r="D225" s="219">
        <f t="shared" si="32"/>
        <v>-70370</v>
      </c>
      <c r="E225" s="219">
        <f t="shared" si="33"/>
        <v>-52102</v>
      </c>
      <c r="F225" s="219">
        <f t="shared" si="34"/>
        <v>-25484</v>
      </c>
      <c r="G225" s="219">
        <f t="shared" si="35"/>
        <v>8186</v>
      </c>
      <c r="I225" s="49"/>
      <c r="K225" s="220">
        <f>ROUND(VLOOKUP($A225,'Contribution Allocation_Report'!$A$9:$D$314,4,FALSE)*$K$326,0)</f>
        <v>-56503</v>
      </c>
      <c r="L225" s="220">
        <f>ROUND(VLOOKUP($A225,'Contribution Allocation_Report'!$A$9:$D$314,4,FALSE)*$L$326,0)</f>
        <v>-77494</v>
      </c>
      <c r="M225" s="220">
        <f>ROUND(VLOOKUP($A225,'Contribution Allocation_Report'!$A$9:$D$314,4,FALSE)*$M$326,0)</f>
        <v>-50668</v>
      </c>
      <c r="N225" s="220">
        <f>ROUND(VLOOKUP($A225,'Contribution Allocation_Report'!$A$9:$D$314,4,FALSE)*$N$326,0)</f>
        <v>-12960</v>
      </c>
      <c r="O225" s="220">
        <f>ROUND(VLOOKUP($A225,'Contribution Allocation_Report'!$A$9:$D$314,4,FALSE)*$O$326,0)</f>
        <v>5579</v>
      </c>
      <c r="Q225" s="220">
        <f>+VLOOKUP(A225,'Change in Proportion Layers'!$AL$8:$AQ$322,2,FALSE)+K225</f>
        <v>-45033</v>
      </c>
      <c r="R225" s="220">
        <f>+VLOOKUP(A225,'Change in Proportion Layers'!$AL$8:$AQ$322,3,FALSE)+L225</f>
        <v>-70370</v>
      </c>
      <c r="S225" s="220">
        <f>+VLOOKUP(A225,'Change in Proportion Layers'!$AL$8:$AQ$322,4,FALSE)+M225</f>
        <v>-52102</v>
      </c>
      <c r="T225" s="220">
        <f>+VLOOKUP(A225,'Change in Proportion Layers'!$AL$8:$AQ$322,5,FALSE)+N225</f>
        <v>-25484</v>
      </c>
      <c r="U225" s="220">
        <f>+VLOOKUP(A225,'Change in Proportion Layers'!$AL$8:$AQ$322,6,FALSE)+O225-2</f>
        <v>8186</v>
      </c>
      <c r="W225" s="220">
        <f>('OPEB Amounts_Report'!H225-'OPEB Amounts_Report'!M225)</f>
        <v>-184803</v>
      </c>
      <c r="X225" s="245">
        <f t="shared" si="36"/>
        <v>0</v>
      </c>
    </row>
    <row r="226" spans="1:24" s="8" customFormat="1">
      <c r="A226" s="211">
        <v>26081</v>
      </c>
      <c r="B226" s="212" t="s">
        <v>212</v>
      </c>
      <c r="C226" s="46">
        <f t="shared" si="31"/>
        <v>-594779</v>
      </c>
      <c r="D226" s="46">
        <f t="shared" si="32"/>
        <v>-886841</v>
      </c>
      <c r="E226" s="46">
        <f t="shared" si="33"/>
        <v>-492531</v>
      </c>
      <c r="F226" s="46">
        <f t="shared" si="34"/>
        <v>-7462</v>
      </c>
      <c r="G226" s="46">
        <f t="shared" si="35"/>
        <v>50768</v>
      </c>
      <c r="I226" s="49"/>
      <c r="K226" s="220">
        <f>ROUND(VLOOKUP($A226,'Contribution Allocation_Report'!$A$9:$D$314,4,FALSE)*$K$326,0)</f>
        <v>-667673</v>
      </c>
      <c r="L226" s="220">
        <f>ROUND(VLOOKUP($A226,'Contribution Allocation_Report'!$A$9:$D$314,4,FALSE)*$L$326,0)</f>
        <v>-915711</v>
      </c>
      <c r="M226" s="220">
        <f>ROUND(VLOOKUP($A226,'Contribution Allocation_Report'!$A$9:$D$314,4,FALSE)*$M$326,0)</f>
        <v>-598721</v>
      </c>
      <c r="N226" s="220">
        <f>ROUND(VLOOKUP($A226,'Contribution Allocation_Report'!$A$9:$D$314,4,FALSE)*$N$326,0)</f>
        <v>-153144</v>
      </c>
      <c r="O226" s="220">
        <f>ROUND(VLOOKUP($A226,'Contribution Allocation_Report'!$A$9:$D$314,4,FALSE)*$O$326,0)</f>
        <v>65924</v>
      </c>
      <c r="Q226" s="220">
        <f>+VLOOKUP(A226,'Change in Proportion Layers'!$AL$8:$AQ$322,2,FALSE)+K226</f>
        <v>-594779</v>
      </c>
      <c r="R226" s="220">
        <f>+VLOOKUP(A226,'Change in Proportion Layers'!$AL$8:$AQ$322,3,FALSE)+L226</f>
        <v>-886841</v>
      </c>
      <c r="S226" s="220">
        <f>+VLOOKUP(A226,'Change in Proportion Layers'!$AL$8:$AQ$322,4,FALSE)+M226</f>
        <v>-492531</v>
      </c>
      <c r="T226" s="220">
        <f>+VLOOKUP(A226,'Change in Proportion Layers'!$AL$8:$AQ$322,5,FALSE)+N226</f>
        <v>-7462</v>
      </c>
      <c r="U226" s="220">
        <f>+VLOOKUP(A226,'Change in Proportion Layers'!$AL$8:$AQ$322,6,FALSE)+O226-1</f>
        <v>50768</v>
      </c>
      <c r="W226" s="220">
        <f>('OPEB Amounts_Report'!H226-'OPEB Amounts_Report'!M226)</f>
        <v>-1930845</v>
      </c>
      <c r="X226" s="245">
        <f t="shared" si="36"/>
        <v>0</v>
      </c>
    </row>
    <row r="227" spans="1:24" s="8" customFormat="1">
      <c r="A227" s="209">
        <v>29305</v>
      </c>
      <c r="B227" s="210" t="s">
        <v>213</v>
      </c>
      <c r="C227" s="219">
        <f t="shared" si="31"/>
        <v>-70437</v>
      </c>
      <c r="D227" s="219">
        <f t="shared" si="32"/>
        <v>-89978</v>
      </c>
      <c r="E227" s="219">
        <f t="shared" si="33"/>
        <v>-56547</v>
      </c>
      <c r="F227" s="219">
        <f t="shared" si="34"/>
        <v>-9030</v>
      </c>
      <c r="G227" s="219">
        <f t="shared" si="35"/>
        <v>13108</v>
      </c>
      <c r="I227" s="49"/>
      <c r="K227" s="220">
        <f>ROUND(VLOOKUP($A227,'Contribution Allocation_Report'!$A$9:$D$314,4,FALSE)*$K$326,0)</f>
        <v>-44343</v>
      </c>
      <c r="L227" s="220">
        <f>ROUND(VLOOKUP($A227,'Contribution Allocation_Report'!$A$9:$D$314,4,FALSE)*$L$326,0)</f>
        <v>-60816</v>
      </c>
      <c r="M227" s="220">
        <f>ROUND(VLOOKUP($A227,'Contribution Allocation_Report'!$A$9:$D$314,4,FALSE)*$M$326,0)</f>
        <v>-39763</v>
      </c>
      <c r="N227" s="220">
        <f>ROUND(VLOOKUP($A227,'Contribution Allocation_Report'!$A$9:$D$314,4,FALSE)*$N$326,0)</f>
        <v>-10171</v>
      </c>
      <c r="O227" s="220">
        <f>ROUND(VLOOKUP($A227,'Contribution Allocation_Report'!$A$9:$D$314,4,FALSE)*$O$326,0)</f>
        <v>4378</v>
      </c>
      <c r="Q227" s="220">
        <f>+VLOOKUP(A227,'Change in Proportion Layers'!$AL$8:$AQ$322,2,FALSE)+K227</f>
        <v>-70437</v>
      </c>
      <c r="R227" s="220">
        <f>+VLOOKUP(A227,'Change in Proportion Layers'!$AL$8:$AQ$322,3,FALSE)+L227</f>
        <v>-89978</v>
      </c>
      <c r="S227" s="220">
        <f>+VLOOKUP(A227,'Change in Proportion Layers'!$AL$8:$AQ$322,4,FALSE)+M227</f>
        <v>-56547</v>
      </c>
      <c r="T227" s="220">
        <f>+VLOOKUP(A227,'Change in Proportion Layers'!$AL$8:$AQ$322,5,FALSE)+N227</f>
        <v>-9030</v>
      </c>
      <c r="U227" s="220">
        <f>+VLOOKUP(A227,'Change in Proportion Layers'!$AL$8:$AQ$322,6,FALSE)+O227</f>
        <v>13108</v>
      </c>
      <c r="W227" s="220">
        <f>('OPEB Amounts_Report'!H227-'OPEB Amounts_Report'!M227)</f>
        <v>-212884</v>
      </c>
      <c r="X227" s="245">
        <f t="shared" si="36"/>
        <v>0</v>
      </c>
    </row>
    <row r="228" spans="1:24" s="8" customFormat="1">
      <c r="A228" s="211">
        <v>10032</v>
      </c>
      <c r="B228" s="212" t="s">
        <v>214</v>
      </c>
      <c r="C228" s="46">
        <f t="shared" si="31"/>
        <v>-81707</v>
      </c>
      <c r="D228" s="46">
        <f t="shared" si="32"/>
        <v>-97146</v>
      </c>
      <c r="E228" s="46">
        <f t="shared" si="33"/>
        <v>-52650</v>
      </c>
      <c r="F228" s="46">
        <f t="shared" si="34"/>
        <v>9324</v>
      </c>
      <c r="G228" s="46">
        <f t="shared" si="35"/>
        <v>26575</v>
      </c>
      <c r="I228" s="49"/>
      <c r="K228" s="220">
        <f>ROUND(VLOOKUP($A228,'Contribution Allocation_Report'!$A$9:$D$314,4,FALSE)*$K$326,0)</f>
        <v>-82566</v>
      </c>
      <c r="L228" s="220">
        <f>ROUND(VLOOKUP($A228,'Contribution Allocation_Report'!$A$9:$D$314,4,FALSE)*$L$326,0)</f>
        <v>-113239</v>
      </c>
      <c r="M228" s="220">
        <f>ROUND(VLOOKUP($A228,'Contribution Allocation_Report'!$A$9:$D$314,4,FALSE)*$M$326,0)</f>
        <v>-74039</v>
      </c>
      <c r="N228" s="220">
        <f>ROUND(VLOOKUP($A228,'Contribution Allocation_Report'!$A$9:$D$314,4,FALSE)*$N$326,0)</f>
        <v>-18938</v>
      </c>
      <c r="O228" s="220">
        <f>ROUND(VLOOKUP($A228,'Contribution Allocation_Report'!$A$9:$D$314,4,FALSE)*$O$326,0)</f>
        <v>8152</v>
      </c>
      <c r="Q228" s="220">
        <f>+VLOOKUP(A228,'Change in Proportion Layers'!$AL$8:$AQ$322,2,FALSE)+K228</f>
        <v>-81707</v>
      </c>
      <c r="R228" s="220">
        <f>+VLOOKUP(A228,'Change in Proportion Layers'!$AL$8:$AQ$322,3,FALSE)+L228</f>
        <v>-97146</v>
      </c>
      <c r="S228" s="220">
        <f>+VLOOKUP(A228,'Change in Proportion Layers'!$AL$8:$AQ$322,4,FALSE)+M228</f>
        <v>-52650</v>
      </c>
      <c r="T228" s="220">
        <f>+VLOOKUP(A228,'Change in Proportion Layers'!$AL$8:$AQ$322,5,FALSE)+N228</f>
        <v>9324</v>
      </c>
      <c r="U228" s="220">
        <f>+VLOOKUP(A228,'Change in Proportion Layers'!$AL$8:$AQ$322,6,FALSE)+O228+1</f>
        <v>26575</v>
      </c>
      <c r="W228" s="220">
        <f>('OPEB Amounts_Report'!H228-'OPEB Amounts_Report'!M228)</f>
        <v>-195604</v>
      </c>
      <c r="X228" s="245">
        <f t="shared" si="36"/>
        <v>0</v>
      </c>
    </row>
    <row r="229" spans="1:24" s="8" customFormat="1">
      <c r="A229" s="209">
        <v>32107</v>
      </c>
      <c r="B229" s="210" t="s">
        <v>215</v>
      </c>
      <c r="C229" s="219">
        <f t="shared" si="31"/>
        <v>-136751</v>
      </c>
      <c r="D229" s="219">
        <f t="shared" si="32"/>
        <v>-125869</v>
      </c>
      <c r="E229" s="219">
        <f t="shared" si="33"/>
        <v>-63073</v>
      </c>
      <c r="F229" s="219">
        <f t="shared" si="34"/>
        <v>18216</v>
      </c>
      <c r="G229" s="219">
        <f t="shared" si="35"/>
        <v>13160</v>
      </c>
      <c r="I229" s="49"/>
      <c r="K229" s="220">
        <f>ROUND(VLOOKUP($A229,'Contribution Allocation_Report'!$A$9:$D$314,4,FALSE)*$K$326,0)</f>
        <v>-104504</v>
      </c>
      <c r="L229" s="220">
        <f>ROUND(VLOOKUP($A229,'Contribution Allocation_Report'!$A$9:$D$314,4,FALSE)*$L$326,0)</f>
        <v>-143326</v>
      </c>
      <c r="M229" s="220">
        <f>ROUND(VLOOKUP($A229,'Contribution Allocation_Report'!$A$9:$D$314,4,FALSE)*$M$326,0)</f>
        <v>-93711</v>
      </c>
      <c r="N229" s="220">
        <f>ROUND(VLOOKUP($A229,'Contribution Allocation_Report'!$A$9:$D$314,4,FALSE)*$N$326,0)</f>
        <v>-23970</v>
      </c>
      <c r="O229" s="220">
        <f>ROUND(VLOOKUP($A229,'Contribution Allocation_Report'!$A$9:$D$314,4,FALSE)*$O$326,0)</f>
        <v>10318</v>
      </c>
      <c r="Q229" s="220">
        <f>+VLOOKUP(A229,'Change in Proportion Layers'!$AL$8:$AQ$322,2,FALSE)+K229</f>
        <v>-136751</v>
      </c>
      <c r="R229" s="220">
        <f>+VLOOKUP(A229,'Change in Proportion Layers'!$AL$8:$AQ$322,3,FALSE)+L229</f>
        <v>-125869</v>
      </c>
      <c r="S229" s="220">
        <f>+VLOOKUP(A229,'Change in Proportion Layers'!$AL$8:$AQ$322,4,FALSE)+M229</f>
        <v>-63073</v>
      </c>
      <c r="T229" s="220">
        <f>+VLOOKUP(A229,'Change in Proportion Layers'!$AL$8:$AQ$322,5,FALSE)+N229</f>
        <v>18216</v>
      </c>
      <c r="U229" s="220">
        <f>+VLOOKUP(A229,'Change in Proportion Layers'!$AL$8:$AQ$322,6,FALSE)+O229-1</f>
        <v>13160</v>
      </c>
      <c r="W229" s="220">
        <f>('OPEB Amounts_Report'!H229-'OPEB Amounts_Report'!M229)</f>
        <v>-294317</v>
      </c>
      <c r="X229" s="245">
        <f t="shared" si="36"/>
        <v>0</v>
      </c>
    </row>
    <row r="230" spans="1:24" s="8" customFormat="1">
      <c r="A230" s="211">
        <v>3260</v>
      </c>
      <c r="B230" s="212" t="s">
        <v>216</v>
      </c>
      <c r="C230" s="46">
        <f t="shared" si="31"/>
        <v>-2497303</v>
      </c>
      <c r="D230" s="46">
        <f t="shared" si="32"/>
        <v>-2751153</v>
      </c>
      <c r="E230" s="46">
        <f t="shared" si="33"/>
        <v>-1839238</v>
      </c>
      <c r="F230" s="46">
        <f t="shared" si="34"/>
        <v>-553013</v>
      </c>
      <c r="G230" s="46">
        <f t="shared" si="35"/>
        <v>89913</v>
      </c>
      <c r="I230" s="49"/>
      <c r="K230" s="220">
        <f>ROUND(VLOOKUP($A230,'Contribution Allocation_Report'!$A$9:$D$314,4,FALSE)*$K$326,0)</f>
        <v>-1463911</v>
      </c>
      <c r="L230" s="220">
        <f>ROUND(VLOOKUP($A230,'Contribution Allocation_Report'!$A$9:$D$314,4,FALSE)*$L$326,0)</f>
        <v>-2007750</v>
      </c>
      <c r="M230" s="220">
        <f>ROUND(VLOOKUP($A230,'Contribution Allocation_Report'!$A$9:$D$314,4,FALSE)*$M$326,0)</f>
        <v>-1312731</v>
      </c>
      <c r="N230" s="220">
        <f>ROUND(VLOOKUP($A230,'Contribution Allocation_Report'!$A$9:$D$314,4,FALSE)*$N$326,0)</f>
        <v>-335778</v>
      </c>
      <c r="O230" s="220">
        <f>ROUND(VLOOKUP($A230,'Contribution Allocation_Report'!$A$9:$D$314,4,FALSE)*$O$326,0)</f>
        <v>144542</v>
      </c>
      <c r="Q230" s="220">
        <f>+VLOOKUP(A230,'Change in Proportion Layers'!$AL$8:$AQ$322,2,FALSE)+K230</f>
        <v>-2497303</v>
      </c>
      <c r="R230" s="220">
        <f>+VLOOKUP(A230,'Change in Proportion Layers'!$AL$8:$AQ$322,3,FALSE)+L230</f>
        <v>-2751153</v>
      </c>
      <c r="S230" s="220">
        <f>+VLOOKUP(A230,'Change in Proportion Layers'!$AL$8:$AQ$322,4,FALSE)+M230</f>
        <v>-1839238</v>
      </c>
      <c r="T230" s="220">
        <f>+VLOOKUP(A230,'Change in Proportion Layers'!$AL$8:$AQ$322,5,FALSE)+N230</f>
        <v>-553013</v>
      </c>
      <c r="U230" s="220">
        <f>+VLOOKUP(A230,'Change in Proportion Layers'!$AL$8:$AQ$322,6,FALSE)+O230+1</f>
        <v>89913</v>
      </c>
      <c r="W230" s="220">
        <f>('OPEB Amounts_Report'!H230-'OPEB Amounts_Report'!M230)</f>
        <v>-7550794</v>
      </c>
      <c r="X230" s="245">
        <f t="shared" si="36"/>
        <v>0</v>
      </c>
    </row>
    <row r="231" spans="1:24" s="8" customFormat="1">
      <c r="A231" s="209">
        <v>4390</v>
      </c>
      <c r="B231" s="210" t="s">
        <v>217</v>
      </c>
      <c r="C231" s="219">
        <f t="shared" si="31"/>
        <v>-15299</v>
      </c>
      <c r="D231" s="219">
        <f t="shared" si="32"/>
        <v>-22794</v>
      </c>
      <c r="E231" s="219">
        <f t="shared" si="33"/>
        <v>-18822</v>
      </c>
      <c r="F231" s="219">
        <f t="shared" si="34"/>
        <v>-5086</v>
      </c>
      <c r="G231" s="219">
        <f t="shared" si="35"/>
        <v>7787</v>
      </c>
      <c r="I231" s="49"/>
      <c r="K231" s="220">
        <f>ROUND(VLOOKUP($A231,'Contribution Allocation_Report'!$A$9:$D$314,4,FALSE)*$K$326,0)</f>
        <v>-15886</v>
      </c>
      <c r="L231" s="220">
        <f>ROUND(VLOOKUP($A231,'Contribution Allocation_Report'!$A$9:$D$314,4,FALSE)*$L$326,0)</f>
        <v>-21788</v>
      </c>
      <c r="M231" s="220">
        <f>ROUND(VLOOKUP($A231,'Contribution Allocation_Report'!$A$9:$D$314,4,FALSE)*$M$326,0)</f>
        <v>-14245</v>
      </c>
      <c r="N231" s="220">
        <f>ROUND(VLOOKUP($A231,'Contribution Allocation_Report'!$A$9:$D$314,4,FALSE)*$N$326,0)</f>
        <v>-3644</v>
      </c>
      <c r="O231" s="220">
        <f>ROUND(VLOOKUP($A231,'Contribution Allocation_Report'!$A$9:$D$314,4,FALSE)*$O$326,0)</f>
        <v>1569</v>
      </c>
      <c r="Q231" s="220">
        <f>+VLOOKUP(A231,'Change in Proportion Layers'!$AL$8:$AQ$322,2,FALSE)+K231</f>
        <v>-15299</v>
      </c>
      <c r="R231" s="220">
        <f>+VLOOKUP(A231,'Change in Proportion Layers'!$AL$8:$AQ$322,3,FALSE)+L231</f>
        <v>-22794</v>
      </c>
      <c r="S231" s="220">
        <f>+VLOOKUP(A231,'Change in Proportion Layers'!$AL$8:$AQ$322,4,FALSE)+M231</f>
        <v>-18822</v>
      </c>
      <c r="T231" s="220">
        <f>+VLOOKUP(A231,'Change in Proportion Layers'!$AL$8:$AQ$322,5,FALSE)+N231</f>
        <v>-5086</v>
      </c>
      <c r="U231" s="220">
        <f>+VLOOKUP(A231,'Change in Proportion Layers'!$AL$8:$AQ$322,6,FALSE)+O231</f>
        <v>7787</v>
      </c>
      <c r="W231" s="220">
        <f>('OPEB Amounts_Report'!H231-'OPEB Amounts_Report'!M231)</f>
        <v>-54214</v>
      </c>
      <c r="X231" s="245">
        <f t="shared" si="36"/>
        <v>0</v>
      </c>
    </row>
    <row r="232" spans="1:24" s="8" customFormat="1">
      <c r="A232" s="211">
        <v>3270</v>
      </c>
      <c r="B232" s="212" t="s">
        <v>218</v>
      </c>
      <c r="C232" s="46">
        <f t="shared" si="31"/>
        <v>-323361</v>
      </c>
      <c r="D232" s="46">
        <f t="shared" si="32"/>
        <v>-376070</v>
      </c>
      <c r="E232" s="46">
        <f t="shared" si="33"/>
        <v>-236121</v>
      </c>
      <c r="F232" s="46">
        <f t="shared" si="34"/>
        <v>-64338</v>
      </c>
      <c r="G232" s="46">
        <f t="shared" si="35"/>
        <v>-24031</v>
      </c>
      <c r="I232" s="49"/>
      <c r="K232" s="220">
        <f>ROUND(VLOOKUP($A232,'Contribution Allocation_Report'!$A$9:$D$314,4,FALSE)*$K$326,0)</f>
        <v>-222631</v>
      </c>
      <c r="L232" s="220">
        <f>ROUND(VLOOKUP($A232,'Contribution Allocation_Report'!$A$9:$D$314,4,FALSE)*$L$326,0)</f>
        <v>-305337</v>
      </c>
      <c r="M232" s="220">
        <f>ROUND(VLOOKUP($A232,'Contribution Allocation_Report'!$A$9:$D$314,4,FALSE)*$M$326,0)</f>
        <v>-199639</v>
      </c>
      <c r="N232" s="220">
        <f>ROUND(VLOOKUP($A232,'Contribution Allocation_Report'!$A$9:$D$314,4,FALSE)*$N$326,0)</f>
        <v>-51065</v>
      </c>
      <c r="O232" s="220">
        <f>ROUND(VLOOKUP($A232,'Contribution Allocation_Report'!$A$9:$D$314,4,FALSE)*$O$326,0)</f>
        <v>21982</v>
      </c>
      <c r="Q232" s="220">
        <f>+VLOOKUP(A232,'Change in Proportion Layers'!$AL$8:$AQ$322,2,FALSE)+K232</f>
        <v>-323361</v>
      </c>
      <c r="R232" s="220">
        <f>+VLOOKUP(A232,'Change in Proportion Layers'!$AL$8:$AQ$322,3,FALSE)+L232</f>
        <v>-376070</v>
      </c>
      <c r="S232" s="220">
        <f>+VLOOKUP(A232,'Change in Proportion Layers'!$AL$8:$AQ$322,4,FALSE)+M232</f>
        <v>-236121</v>
      </c>
      <c r="T232" s="220">
        <f>+VLOOKUP(A232,'Change in Proportion Layers'!$AL$8:$AQ$322,5,FALSE)+N232</f>
        <v>-64338</v>
      </c>
      <c r="U232" s="220">
        <f>+VLOOKUP(A232,'Change in Proportion Layers'!$AL$8:$AQ$322,6,FALSE)+O232</f>
        <v>-24031</v>
      </c>
      <c r="W232" s="220">
        <f>('OPEB Amounts_Report'!H232-'OPEB Amounts_Report'!M232)</f>
        <v>-1023921</v>
      </c>
      <c r="X232" s="245">
        <f t="shared" si="36"/>
        <v>0</v>
      </c>
    </row>
    <row r="233" spans="1:24" s="8" customFormat="1">
      <c r="A233" s="209">
        <v>29303</v>
      </c>
      <c r="B233" s="210" t="s">
        <v>219</v>
      </c>
      <c r="C233" s="219">
        <f t="shared" si="31"/>
        <v>57149</v>
      </c>
      <c r="D233" s="219">
        <f t="shared" si="32"/>
        <v>-30746</v>
      </c>
      <c r="E233" s="219">
        <f t="shared" si="33"/>
        <v>-19097</v>
      </c>
      <c r="F233" s="219">
        <f t="shared" si="34"/>
        <v>-3438</v>
      </c>
      <c r="G233" s="219">
        <f t="shared" si="35"/>
        <v>8963</v>
      </c>
      <c r="I233" s="49"/>
      <c r="K233" s="220">
        <f>ROUND(VLOOKUP($A233,'Contribution Allocation_Report'!$A$9:$D$314,4,FALSE)*$K$326,0)</f>
        <v>-79557</v>
      </c>
      <c r="L233" s="220">
        <f>ROUND(VLOOKUP($A233,'Contribution Allocation_Report'!$A$9:$D$314,4,FALSE)*$L$326,0)</f>
        <v>-109113</v>
      </c>
      <c r="M233" s="220">
        <f>ROUND(VLOOKUP($A233,'Contribution Allocation_Report'!$A$9:$D$314,4,FALSE)*$M$326,0)</f>
        <v>-71341</v>
      </c>
      <c r="N233" s="220">
        <f>ROUND(VLOOKUP($A233,'Contribution Allocation_Report'!$A$9:$D$314,4,FALSE)*$N$326,0)</f>
        <v>-18248</v>
      </c>
      <c r="O233" s="220">
        <f>ROUND(VLOOKUP($A233,'Contribution Allocation_Report'!$A$9:$D$314,4,FALSE)*$O$326,0)</f>
        <v>7855</v>
      </c>
      <c r="Q233" s="220">
        <f>+VLOOKUP(A233,'Change in Proportion Layers'!$AL$8:$AQ$322,2,FALSE)+K233</f>
        <v>57149</v>
      </c>
      <c r="R233" s="220">
        <f>+VLOOKUP(A233,'Change in Proportion Layers'!$AL$8:$AQ$322,3,FALSE)+L233</f>
        <v>-30746</v>
      </c>
      <c r="S233" s="220">
        <f>+VLOOKUP(A233,'Change in Proportion Layers'!$AL$8:$AQ$322,4,FALSE)+M233</f>
        <v>-19097</v>
      </c>
      <c r="T233" s="220">
        <f>+VLOOKUP(A233,'Change in Proportion Layers'!$AL$8:$AQ$322,5,FALSE)+N233</f>
        <v>-3438</v>
      </c>
      <c r="U233" s="220">
        <f>+VLOOKUP(A233,'Change in Proportion Layers'!$AL$8:$AQ$322,6,FALSE)+O233-1</f>
        <v>8963</v>
      </c>
      <c r="W233" s="220">
        <f>('OPEB Amounts_Report'!H233-'OPEB Amounts_Report'!M233)</f>
        <v>12831</v>
      </c>
      <c r="X233" s="245">
        <f t="shared" si="36"/>
        <v>0</v>
      </c>
    </row>
    <row r="234" spans="1:24" s="8" customFormat="1">
      <c r="A234" s="211">
        <v>3280</v>
      </c>
      <c r="B234" s="212" t="s">
        <v>220</v>
      </c>
      <c r="C234" s="46">
        <f t="shared" si="31"/>
        <v>-1302372</v>
      </c>
      <c r="D234" s="46">
        <f t="shared" si="32"/>
        <v>-1544542</v>
      </c>
      <c r="E234" s="46">
        <f t="shared" si="33"/>
        <v>-1177190</v>
      </c>
      <c r="F234" s="46">
        <f t="shared" si="34"/>
        <v>-342992</v>
      </c>
      <c r="G234" s="46">
        <f t="shared" si="35"/>
        <v>148228</v>
      </c>
      <c r="I234" s="49"/>
      <c r="K234" s="220">
        <f>ROUND(VLOOKUP($A234,'Contribution Allocation_Report'!$A$9:$D$314,4,FALSE)*$K$326,0)</f>
        <v>-1121224</v>
      </c>
      <c r="L234" s="220">
        <f>ROUND(VLOOKUP($A234,'Contribution Allocation_Report'!$A$9:$D$314,4,FALSE)*$L$326,0)</f>
        <v>-1537756</v>
      </c>
      <c r="M234" s="220">
        <f>ROUND(VLOOKUP($A234,'Contribution Allocation_Report'!$A$9:$D$314,4,FALSE)*$M$326,0)</f>
        <v>-1005434</v>
      </c>
      <c r="N234" s="220">
        <f>ROUND(VLOOKUP($A234,'Contribution Allocation_Report'!$A$9:$D$314,4,FALSE)*$N$326,0)</f>
        <v>-257176</v>
      </c>
      <c r="O234" s="220">
        <f>ROUND(VLOOKUP($A234,'Contribution Allocation_Report'!$A$9:$D$314,4,FALSE)*$O$326,0)</f>
        <v>110706</v>
      </c>
      <c r="Q234" s="220">
        <f>+VLOOKUP(A234,'Change in Proportion Layers'!$AL$8:$AQ$322,2,FALSE)+K234</f>
        <v>-1302372</v>
      </c>
      <c r="R234" s="220">
        <f>+VLOOKUP(A234,'Change in Proportion Layers'!$AL$8:$AQ$322,3,FALSE)+L234</f>
        <v>-1544542</v>
      </c>
      <c r="S234" s="220">
        <f>+VLOOKUP(A234,'Change in Proportion Layers'!$AL$8:$AQ$322,4,FALSE)+M234</f>
        <v>-1177190</v>
      </c>
      <c r="T234" s="220">
        <f>+VLOOKUP(A234,'Change in Proportion Layers'!$AL$8:$AQ$322,5,FALSE)+N234</f>
        <v>-342992</v>
      </c>
      <c r="U234" s="220">
        <f>+VLOOKUP(A234,'Change in Proportion Layers'!$AL$8:$AQ$322,6,FALSE)+O234+1</f>
        <v>148228</v>
      </c>
      <c r="W234" s="220">
        <f>('OPEB Amounts_Report'!H234-'OPEB Amounts_Report'!M234)</f>
        <v>-4218868</v>
      </c>
      <c r="X234" s="245">
        <f t="shared" si="36"/>
        <v>0</v>
      </c>
    </row>
    <row r="235" spans="1:24" s="8" customFormat="1">
      <c r="A235" s="209">
        <v>4260</v>
      </c>
      <c r="B235" s="210" t="s">
        <v>221</v>
      </c>
      <c r="C235" s="219">
        <f t="shared" si="31"/>
        <v>-104664</v>
      </c>
      <c r="D235" s="219">
        <f t="shared" si="32"/>
        <v>-130827</v>
      </c>
      <c r="E235" s="219">
        <f t="shared" si="33"/>
        <v>-79273</v>
      </c>
      <c r="F235" s="219">
        <f t="shared" si="34"/>
        <v>-44475</v>
      </c>
      <c r="G235" s="219">
        <f t="shared" si="35"/>
        <v>13113</v>
      </c>
      <c r="I235" s="49"/>
      <c r="K235" s="220">
        <f>ROUND(VLOOKUP($A235,'Contribution Allocation_Report'!$A$9:$D$314,4,FALSE)*$K$326,0)</f>
        <v>-87026</v>
      </c>
      <c r="L235" s="220">
        <f>ROUND(VLOOKUP($A235,'Contribution Allocation_Report'!$A$9:$D$314,4,FALSE)*$L$326,0)</f>
        <v>-119356</v>
      </c>
      <c r="M235" s="220">
        <f>ROUND(VLOOKUP($A235,'Contribution Allocation_Report'!$A$9:$D$314,4,FALSE)*$M$326,0)</f>
        <v>-78038</v>
      </c>
      <c r="N235" s="220">
        <f>ROUND(VLOOKUP($A235,'Contribution Allocation_Report'!$A$9:$D$314,4,FALSE)*$N$326,0)</f>
        <v>-19961</v>
      </c>
      <c r="O235" s="220">
        <f>ROUND(VLOOKUP($A235,'Contribution Allocation_Report'!$A$9:$D$314,4,FALSE)*$O$326,0)</f>
        <v>8593</v>
      </c>
      <c r="Q235" s="220">
        <f>+VLOOKUP(A235,'Change in Proportion Layers'!$AL$8:$AQ$322,2,FALSE)+K235</f>
        <v>-104664</v>
      </c>
      <c r="R235" s="220">
        <f>+VLOOKUP(A235,'Change in Proportion Layers'!$AL$8:$AQ$322,3,FALSE)+L235</f>
        <v>-130827</v>
      </c>
      <c r="S235" s="220">
        <f>+VLOOKUP(A235,'Change in Proportion Layers'!$AL$8:$AQ$322,4,FALSE)+M235</f>
        <v>-79273</v>
      </c>
      <c r="T235" s="220">
        <f>+VLOOKUP(A235,'Change in Proportion Layers'!$AL$8:$AQ$322,5,FALSE)+N235</f>
        <v>-44475</v>
      </c>
      <c r="U235" s="220">
        <f>+VLOOKUP(A235,'Change in Proportion Layers'!$AL$8:$AQ$322,6,FALSE)+O235</f>
        <v>13113</v>
      </c>
      <c r="W235" s="220">
        <f>('OPEB Amounts_Report'!H235-'OPEB Amounts_Report'!M235)</f>
        <v>-346126</v>
      </c>
      <c r="X235" s="245">
        <f t="shared" si="36"/>
        <v>0</v>
      </c>
    </row>
    <row r="236" spans="1:24" s="8" customFormat="1">
      <c r="A236" s="211">
        <v>1003</v>
      </c>
      <c r="B236" s="212" t="s">
        <v>222</v>
      </c>
      <c r="C236" s="46">
        <f t="shared" si="31"/>
        <v>-1678572</v>
      </c>
      <c r="D236" s="46">
        <f t="shared" si="32"/>
        <v>-1965278</v>
      </c>
      <c r="E236" s="46">
        <f t="shared" si="33"/>
        <v>-1072437</v>
      </c>
      <c r="F236" s="46">
        <f t="shared" si="34"/>
        <v>-159981</v>
      </c>
      <c r="G236" s="46">
        <f t="shared" si="35"/>
        <v>171471</v>
      </c>
      <c r="I236" s="49"/>
      <c r="K236" s="220">
        <f>ROUND(VLOOKUP($A236,'Contribution Allocation_Report'!$A$9:$D$314,4,FALSE)*$K$326,0)</f>
        <v>-1245936</v>
      </c>
      <c r="L236" s="220">
        <f>ROUND(VLOOKUP($A236,'Contribution Allocation_Report'!$A$9:$D$314,4,FALSE)*$L$326,0)</f>
        <v>-1708797</v>
      </c>
      <c r="M236" s="220">
        <f>ROUND(VLOOKUP($A236,'Contribution Allocation_Report'!$A$9:$D$314,4,FALSE)*$M$326,0)</f>
        <v>-1117266</v>
      </c>
      <c r="N236" s="220">
        <f>ROUND(VLOOKUP($A236,'Contribution Allocation_Report'!$A$9:$D$314,4,FALSE)*$N$326,0)</f>
        <v>-285781</v>
      </c>
      <c r="O236" s="220">
        <f>ROUND(VLOOKUP($A236,'Contribution Allocation_Report'!$A$9:$D$314,4,FALSE)*$O$326,0)</f>
        <v>123020</v>
      </c>
      <c r="Q236" s="220">
        <f>+VLOOKUP(A236,'Change in Proportion Layers'!$AL$8:$AQ$322,2,FALSE)+K236</f>
        <v>-1678572</v>
      </c>
      <c r="R236" s="220">
        <f>+VLOOKUP(A236,'Change in Proportion Layers'!$AL$8:$AQ$322,3,FALSE)+L236</f>
        <v>-1965278</v>
      </c>
      <c r="S236" s="220">
        <f>+VLOOKUP(A236,'Change in Proportion Layers'!$AL$8:$AQ$322,4,FALSE)+M236</f>
        <v>-1072437</v>
      </c>
      <c r="T236" s="220">
        <f>+VLOOKUP(A236,'Change in Proportion Layers'!$AL$8:$AQ$322,5,FALSE)+N236</f>
        <v>-159981</v>
      </c>
      <c r="U236" s="220">
        <f>+VLOOKUP(A236,'Change in Proportion Layers'!$AL$8:$AQ$322,6,FALSE)+O236+1</f>
        <v>171471</v>
      </c>
      <c r="W236" s="220">
        <f>('OPEB Amounts_Report'!H236-'OPEB Amounts_Report'!M236)</f>
        <v>-4704797</v>
      </c>
      <c r="X236" s="245">
        <f t="shared" si="36"/>
        <v>0</v>
      </c>
    </row>
    <row r="237" spans="1:24" s="8" customFormat="1">
      <c r="A237" s="209">
        <v>3290</v>
      </c>
      <c r="B237" s="210" t="s">
        <v>223</v>
      </c>
      <c r="C237" s="219">
        <f t="shared" si="31"/>
        <v>-3765127</v>
      </c>
      <c r="D237" s="219">
        <f t="shared" si="32"/>
        <v>-4025509</v>
      </c>
      <c r="E237" s="219">
        <f t="shared" si="33"/>
        <v>-2521589</v>
      </c>
      <c r="F237" s="219">
        <f t="shared" si="34"/>
        <v>-427741</v>
      </c>
      <c r="G237" s="219">
        <f t="shared" si="35"/>
        <v>707410</v>
      </c>
      <c r="I237" s="49"/>
      <c r="K237" s="220">
        <f>ROUND(VLOOKUP($A237,'Contribution Allocation_Report'!$A$9:$D$314,4,FALSE)*$K$326,0)</f>
        <v>-2537993</v>
      </c>
      <c r="L237" s="220">
        <f>ROUND(VLOOKUP($A237,'Contribution Allocation_Report'!$A$9:$D$314,4,FALSE)*$L$326,0)</f>
        <v>-3480849</v>
      </c>
      <c r="M237" s="220">
        <f>ROUND(VLOOKUP($A237,'Contribution Allocation_Report'!$A$9:$D$314,4,FALSE)*$M$326,0)</f>
        <v>-2275890</v>
      </c>
      <c r="N237" s="220">
        <f>ROUND(VLOOKUP($A237,'Contribution Allocation_Report'!$A$9:$D$314,4,FALSE)*$N$326,0)</f>
        <v>-582141</v>
      </c>
      <c r="O237" s="220">
        <f>ROUND(VLOOKUP($A237,'Contribution Allocation_Report'!$A$9:$D$314,4,FALSE)*$O$326,0)</f>
        <v>250594</v>
      </c>
      <c r="Q237" s="220">
        <f>+VLOOKUP(A237,'Change in Proportion Layers'!$AL$8:$AQ$322,2,FALSE)+K237</f>
        <v>-3765127</v>
      </c>
      <c r="R237" s="220">
        <f>+VLOOKUP(A237,'Change in Proportion Layers'!$AL$8:$AQ$322,3,FALSE)+L237</f>
        <v>-4025509</v>
      </c>
      <c r="S237" s="220">
        <f>+VLOOKUP(A237,'Change in Proportion Layers'!$AL$8:$AQ$322,4,FALSE)+M237</f>
        <v>-2521589</v>
      </c>
      <c r="T237" s="220">
        <f>+VLOOKUP(A237,'Change in Proportion Layers'!$AL$8:$AQ$322,5,FALSE)+N237</f>
        <v>-427741</v>
      </c>
      <c r="U237" s="220">
        <f>+VLOOKUP(A237,'Change in Proportion Layers'!$AL$8:$AQ$322,6,FALSE)+O237+1</f>
        <v>707410</v>
      </c>
      <c r="W237" s="220">
        <f>('OPEB Amounts_Report'!H237-'OPEB Amounts_Report'!M237)</f>
        <v>-10032556</v>
      </c>
      <c r="X237" s="245">
        <f t="shared" si="36"/>
        <v>0</v>
      </c>
    </row>
    <row r="238" spans="1:24" s="8" customFormat="1">
      <c r="A238" s="211">
        <v>1002</v>
      </c>
      <c r="B238" s="212" t="s">
        <v>224</v>
      </c>
      <c r="C238" s="46">
        <f t="shared" si="31"/>
        <v>-5153853</v>
      </c>
      <c r="D238" s="46">
        <f t="shared" si="32"/>
        <v>-7317975</v>
      </c>
      <c r="E238" s="46">
        <f t="shared" si="33"/>
        <v>-4801533</v>
      </c>
      <c r="F238" s="46">
        <f t="shared" si="34"/>
        <v>-1595312</v>
      </c>
      <c r="G238" s="46">
        <f t="shared" si="35"/>
        <v>75938</v>
      </c>
      <c r="I238" s="49"/>
      <c r="K238" s="220">
        <f>ROUND(VLOOKUP($A238,'Contribution Allocation_Report'!$A$9:$D$314,4,FALSE)*$K$326,0)</f>
        <v>-4509977</v>
      </c>
      <c r="L238" s="220">
        <f>ROUND(VLOOKUP($A238,'Contribution Allocation_Report'!$A$9:$D$314,4,FALSE)*$L$326,0)</f>
        <v>-6185419</v>
      </c>
      <c r="M238" s="220">
        <f>ROUND(VLOOKUP($A238,'Contribution Allocation_Report'!$A$9:$D$314,4,FALSE)*$M$326,0)</f>
        <v>-4044224</v>
      </c>
      <c r="N238" s="220">
        <f>ROUND(VLOOKUP($A238,'Contribution Allocation_Report'!$A$9:$D$314,4,FALSE)*$N$326,0)</f>
        <v>-1034455</v>
      </c>
      <c r="O238" s="220">
        <f>ROUND(VLOOKUP($A238,'Contribution Allocation_Report'!$A$9:$D$314,4,FALSE)*$O$326,0)</f>
        <v>445302</v>
      </c>
      <c r="Q238" s="220">
        <f>+VLOOKUP(A238,'Change in Proportion Layers'!$AL$8:$AQ$322,2,FALSE)+K238</f>
        <v>-5153853</v>
      </c>
      <c r="R238" s="220">
        <f>+VLOOKUP(A238,'Change in Proportion Layers'!$AL$8:$AQ$322,3,FALSE)+L238</f>
        <v>-7317975</v>
      </c>
      <c r="S238" s="220">
        <f>+VLOOKUP(A238,'Change in Proportion Layers'!$AL$8:$AQ$322,4,FALSE)+M238</f>
        <v>-4801533</v>
      </c>
      <c r="T238" s="220">
        <f>+VLOOKUP(A238,'Change in Proportion Layers'!$AL$8:$AQ$322,5,FALSE)+N238</f>
        <v>-1595312</v>
      </c>
      <c r="U238" s="220">
        <f>+VLOOKUP(A238,'Change in Proportion Layers'!$AL$8:$AQ$322,6,FALSE)+O238-1</f>
        <v>75938</v>
      </c>
      <c r="W238" s="220">
        <f>('OPEB Amounts_Report'!H238-'OPEB Amounts_Report'!M238)</f>
        <v>-18792735</v>
      </c>
      <c r="X238" s="245">
        <f t="shared" si="36"/>
        <v>0</v>
      </c>
    </row>
    <row r="239" spans="1:24" s="192" customFormat="1">
      <c r="A239" s="209">
        <v>4270</v>
      </c>
      <c r="B239" s="210" t="s">
        <v>424</v>
      </c>
      <c r="C239" s="219">
        <f t="shared" ref="C239" si="42">+Q239</f>
        <v>185066</v>
      </c>
      <c r="D239" s="219">
        <f t="shared" ref="D239" si="43">+R239</f>
        <v>143805</v>
      </c>
      <c r="E239" s="219">
        <f t="shared" ref="E239" si="44">+S239</f>
        <v>-111091</v>
      </c>
      <c r="F239" s="219">
        <f t="shared" ref="F239" si="45">+T239</f>
        <v>-40459</v>
      </c>
      <c r="G239" s="219">
        <f t="shared" ref="G239" si="46">+U239</f>
        <v>11329</v>
      </c>
      <c r="I239" s="221"/>
      <c r="K239" s="220">
        <f>ROUND(VLOOKUP($A239,'Contribution Allocation_Report'!$A$9:$D$314,4,FALSE)*$K$326,0)</f>
        <v>-94566</v>
      </c>
      <c r="L239" s="220">
        <f>ROUND(VLOOKUP($A239,'Contribution Allocation_Report'!$A$9:$D$314,4,FALSE)*$L$326,0)</f>
        <v>-129698</v>
      </c>
      <c r="M239" s="220">
        <f>ROUND(VLOOKUP($A239,'Contribution Allocation_Report'!$A$9:$D$314,4,FALSE)*$M$326,0)</f>
        <v>-84800</v>
      </c>
      <c r="N239" s="220">
        <f>ROUND(VLOOKUP($A239,'Contribution Allocation_Report'!$A$9:$D$314,4,FALSE)*$N$326,0)</f>
        <v>-21691</v>
      </c>
      <c r="O239" s="220">
        <f>ROUND(VLOOKUP($A239,'Contribution Allocation_Report'!$A$9:$D$314,4,FALSE)*$O$326,0)</f>
        <v>9337</v>
      </c>
      <c r="Q239" s="220">
        <f>+VLOOKUP(A239,'Change in Proportion Layers'!$AL$8:$AQ$322,2,FALSE)+K239</f>
        <v>185066</v>
      </c>
      <c r="R239" s="220">
        <f>+VLOOKUP(A239,'Change in Proportion Layers'!$AL$8:$AQ$322,3,FALSE)+L239</f>
        <v>143805</v>
      </c>
      <c r="S239" s="220">
        <f>+VLOOKUP(A239,'Change in Proportion Layers'!$AL$8:$AQ$322,4,FALSE)+M239</f>
        <v>-111091</v>
      </c>
      <c r="T239" s="220">
        <f>+VLOOKUP(A239,'Change in Proportion Layers'!$AL$8:$AQ$322,5,FALSE)+N239</f>
        <v>-40459</v>
      </c>
      <c r="U239" s="220">
        <f>+VLOOKUP(A239,'Change in Proportion Layers'!$AL$8:$AQ$322,6,FALSE)+O239-1</f>
        <v>11329</v>
      </c>
      <c r="W239" s="220">
        <f>('OPEB Amounts_Report'!H239-'OPEB Amounts_Report'!M239)</f>
        <v>188650</v>
      </c>
      <c r="X239" s="245">
        <f t="shared" si="36"/>
        <v>0</v>
      </c>
    </row>
    <row r="240" spans="1:24" s="8" customFormat="1">
      <c r="A240" s="211">
        <v>24072</v>
      </c>
      <c r="B240" s="212" t="s">
        <v>225</v>
      </c>
      <c r="C240" s="46">
        <f t="shared" si="31"/>
        <v>-223155</v>
      </c>
      <c r="D240" s="46">
        <f t="shared" si="32"/>
        <v>-365900</v>
      </c>
      <c r="E240" s="46">
        <f t="shared" si="33"/>
        <v>-315694</v>
      </c>
      <c r="F240" s="46">
        <f t="shared" si="34"/>
        <v>-141651</v>
      </c>
      <c r="G240" s="46">
        <f t="shared" si="35"/>
        <v>19553</v>
      </c>
      <c r="I240" s="49"/>
      <c r="K240" s="220">
        <f>ROUND(VLOOKUP($A240,'Contribution Allocation_Report'!$A$9:$D$314,4,FALSE)*$K$326,0)</f>
        <v>-338488</v>
      </c>
      <c r="L240" s="220">
        <f>ROUND(VLOOKUP($A240,'Contribution Allocation_Report'!$A$9:$D$314,4,FALSE)*$L$326,0)</f>
        <v>-464235</v>
      </c>
      <c r="M240" s="220">
        <f>ROUND(VLOOKUP($A240,'Contribution Allocation_Report'!$A$9:$D$314,4,FALSE)*$M$326,0)</f>
        <v>-303532</v>
      </c>
      <c r="N240" s="220">
        <f>ROUND(VLOOKUP($A240,'Contribution Allocation_Report'!$A$9:$D$314,4,FALSE)*$N$326,0)</f>
        <v>-77639</v>
      </c>
      <c r="O240" s="220">
        <f>ROUND(VLOOKUP($A240,'Contribution Allocation_Report'!$A$9:$D$314,4,FALSE)*$O$326,0)</f>
        <v>33421</v>
      </c>
      <c r="Q240" s="220">
        <f>+VLOOKUP(A240,'Change in Proportion Layers'!$AL$8:$AQ$322,2,FALSE)+K240</f>
        <v>-223155</v>
      </c>
      <c r="R240" s="220">
        <f>+VLOOKUP(A240,'Change in Proportion Layers'!$AL$8:$AQ$322,3,FALSE)+L240</f>
        <v>-365900</v>
      </c>
      <c r="S240" s="220">
        <f>+VLOOKUP(A240,'Change in Proportion Layers'!$AL$8:$AQ$322,4,FALSE)+M240</f>
        <v>-315694</v>
      </c>
      <c r="T240" s="220">
        <f>+VLOOKUP(A240,'Change in Proportion Layers'!$AL$8:$AQ$322,5,FALSE)+N240</f>
        <v>-141651</v>
      </c>
      <c r="U240" s="220">
        <f>+VLOOKUP(A240,'Change in Proportion Layers'!$AL$8:$AQ$322,6,FALSE)+O240-1</f>
        <v>19553</v>
      </c>
      <c r="W240" s="220">
        <f>('OPEB Amounts_Report'!H240-'OPEB Amounts_Report'!M240)</f>
        <v>-1026847</v>
      </c>
      <c r="X240" s="245">
        <f t="shared" si="36"/>
        <v>0</v>
      </c>
    </row>
    <row r="241" spans="1:24" s="8" customFormat="1">
      <c r="A241" s="209">
        <v>14366</v>
      </c>
      <c r="B241" s="210" t="s">
        <v>226</v>
      </c>
      <c r="C241" s="219">
        <f t="shared" si="31"/>
        <v>-42713</v>
      </c>
      <c r="D241" s="219">
        <f t="shared" si="32"/>
        <v>-142361</v>
      </c>
      <c r="E241" s="219">
        <f t="shared" si="33"/>
        <v>-52945</v>
      </c>
      <c r="F241" s="219">
        <f t="shared" si="34"/>
        <v>-12090</v>
      </c>
      <c r="G241" s="219">
        <f t="shared" si="35"/>
        <v>-9272</v>
      </c>
      <c r="I241" s="49"/>
      <c r="K241" s="220">
        <f>ROUND(VLOOKUP($A241,'Contribution Allocation_Report'!$A$9:$D$314,4,FALSE)*$K$326,0)</f>
        <v>-213608</v>
      </c>
      <c r="L241" s="220">
        <f>ROUND(VLOOKUP($A241,'Contribution Allocation_Report'!$A$9:$D$314,4,FALSE)*$L$326,0)</f>
        <v>-292962</v>
      </c>
      <c r="M241" s="220">
        <f>ROUND(VLOOKUP($A241,'Contribution Allocation_Report'!$A$9:$D$314,4,FALSE)*$M$326,0)</f>
        <v>-191548</v>
      </c>
      <c r="N241" s="220">
        <f>ROUND(VLOOKUP($A241,'Contribution Allocation_Report'!$A$9:$D$314,4,FALSE)*$N$326,0)</f>
        <v>-48995</v>
      </c>
      <c r="O241" s="220">
        <f>ROUND(VLOOKUP($A241,'Contribution Allocation_Report'!$A$9:$D$314,4,FALSE)*$O$326,0)</f>
        <v>21091</v>
      </c>
      <c r="Q241" s="220">
        <f>+VLOOKUP(A241,'Change in Proportion Layers'!$AL$8:$AQ$322,2,FALSE)+K241</f>
        <v>-42713</v>
      </c>
      <c r="R241" s="220">
        <f>+VLOOKUP(A241,'Change in Proportion Layers'!$AL$8:$AQ$322,3,FALSE)+L241</f>
        <v>-142361</v>
      </c>
      <c r="S241" s="220">
        <f>+VLOOKUP(A241,'Change in Proportion Layers'!$AL$8:$AQ$322,4,FALSE)+M241</f>
        <v>-52945</v>
      </c>
      <c r="T241" s="220">
        <f>+VLOOKUP(A241,'Change in Proportion Layers'!$AL$8:$AQ$322,5,FALSE)+N241</f>
        <v>-12090</v>
      </c>
      <c r="U241" s="220">
        <f>+VLOOKUP(A241,'Change in Proportion Layers'!$AL$8:$AQ$322,6,FALSE)+O241-1</f>
        <v>-9272</v>
      </c>
      <c r="W241" s="220">
        <f>('OPEB Amounts_Report'!H241-'OPEB Amounts_Report'!M241)</f>
        <v>-259381</v>
      </c>
      <c r="X241" s="245">
        <f t="shared" si="36"/>
        <v>0</v>
      </c>
    </row>
    <row r="242" spans="1:24" s="8" customFormat="1">
      <c r="A242" s="211">
        <v>4317</v>
      </c>
      <c r="B242" s="212" t="s">
        <v>227</v>
      </c>
      <c r="C242" s="46">
        <f t="shared" si="31"/>
        <v>49468</v>
      </c>
      <c r="D242" s="46">
        <f t="shared" si="32"/>
        <v>24006</v>
      </c>
      <c r="E242" s="46">
        <f t="shared" si="33"/>
        <v>-52417</v>
      </c>
      <c r="F242" s="46">
        <f t="shared" si="34"/>
        <v>-24305</v>
      </c>
      <c r="G242" s="46">
        <f t="shared" si="35"/>
        <v>2544</v>
      </c>
      <c r="I242" s="49"/>
      <c r="K242" s="220">
        <f>ROUND(VLOOKUP($A242,'Contribution Allocation_Report'!$A$9:$D$314,4,FALSE)*$K$326,0)</f>
        <v>-59486</v>
      </c>
      <c r="L242" s="220">
        <f>ROUND(VLOOKUP($A242,'Contribution Allocation_Report'!$A$9:$D$314,4,FALSE)*$L$326,0)</f>
        <v>-81584</v>
      </c>
      <c r="M242" s="220">
        <f>ROUND(VLOOKUP($A242,'Contribution Allocation_Report'!$A$9:$D$314,4,FALSE)*$M$326,0)</f>
        <v>-53342</v>
      </c>
      <c r="N242" s="220">
        <f>ROUND(VLOOKUP($A242,'Contribution Allocation_Report'!$A$9:$D$314,4,FALSE)*$N$326,0)</f>
        <v>-13644</v>
      </c>
      <c r="O242" s="220">
        <f>ROUND(VLOOKUP($A242,'Contribution Allocation_Report'!$A$9:$D$314,4,FALSE)*$O$326,0)</f>
        <v>5873</v>
      </c>
      <c r="Q242" s="220">
        <f>+VLOOKUP(A242,'Change in Proportion Layers'!$AL$8:$AQ$322,2,FALSE)+K242</f>
        <v>49468</v>
      </c>
      <c r="R242" s="220">
        <f>+VLOOKUP(A242,'Change in Proportion Layers'!$AL$8:$AQ$322,3,FALSE)+L242</f>
        <v>24006</v>
      </c>
      <c r="S242" s="220">
        <f>+VLOOKUP(A242,'Change in Proportion Layers'!$AL$8:$AQ$322,4,FALSE)+M242</f>
        <v>-52417</v>
      </c>
      <c r="T242" s="220">
        <f>+VLOOKUP(A242,'Change in Proportion Layers'!$AL$8:$AQ$322,5,FALSE)+N242</f>
        <v>-24305</v>
      </c>
      <c r="U242" s="220">
        <f>+VLOOKUP(A242,'Change in Proportion Layers'!$AL$8:$AQ$322,6,FALSE)+O242</f>
        <v>2544</v>
      </c>
      <c r="W242" s="220">
        <f>('OPEB Amounts_Report'!H242-'OPEB Amounts_Report'!M242)</f>
        <v>-704</v>
      </c>
      <c r="X242" s="245">
        <f t="shared" si="36"/>
        <v>0</v>
      </c>
    </row>
    <row r="243" spans="1:24" s="8" customFormat="1">
      <c r="A243" s="209">
        <v>32120</v>
      </c>
      <c r="B243" s="210" t="s">
        <v>228</v>
      </c>
      <c r="C243" s="219">
        <f t="shared" si="31"/>
        <v>53436</v>
      </c>
      <c r="D243" s="219">
        <f t="shared" si="32"/>
        <v>-35957</v>
      </c>
      <c r="E243" s="219">
        <f t="shared" si="33"/>
        <v>-4072</v>
      </c>
      <c r="F243" s="219">
        <f t="shared" si="34"/>
        <v>47772</v>
      </c>
      <c r="G243" s="219">
        <f t="shared" si="35"/>
        <v>67858</v>
      </c>
      <c r="I243" s="49"/>
      <c r="K243" s="220">
        <f>ROUND(VLOOKUP($A243,'Contribution Allocation_Report'!$A$9:$D$314,4,FALSE)*$K$326,0)</f>
        <v>-118280</v>
      </c>
      <c r="L243" s="220">
        <f>ROUND(VLOOKUP($A243,'Contribution Allocation_Report'!$A$9:$D$314,4,FALSE)*$L$326,0)</f>
        <v>-162221</v>
      </c>
      <c r="M243" s="220">
        <f>ROUND(VLOOKUP($A243,'Contribution Allocation_Report'!$A$9:$D$314,4,FALSE)*$M$326,0)</f>
        <v>-106065</v>
      </c>
      <c r="N243" s="220">
        <f>ROUND(VLOOKUP($A243,'Contribution Allocation_Report'!$A$9:$D$314,4,FALSE)*$N$326,0)</f>
        <v>-27130</v>
      </c>
      <c r="O243" s="220">
        <f>ROUND(VLOOKUP($A243,'Contribution Allocation_Report'!$A$9:$D$314,4,FALSE)*$O$326,0)</f>
        <v>11679</v>
      </c>
      <c r="Q243" s="220">
        <f>+VLOOKUP(A243,'Change in Proportion Layers'!$AL$8:$AQ$322,2,FALSE)+K243</f>
        <v>53436</v>
      </c>
      <c r="R243" s="220">
        <f>+VLOOKUP(A243,'Change in Proportion Layers'!$AL$8:$AQ$322,3,FALSE)+L243</f>
        <v>-35957</v>
      </c>
      <c r="S243" s="220">
        <f>+VLOOKUP(A243,'Change in Proportion Layers'!$AL$8:$AQ$322,4,FALSE)+M243</f>
        <v>-4072</v>
      </c>
      <c r="T243" s="220">
        <f>+VLOOKUP(A243,'Change in Proportion Layers'!$AL$8:$AQ$322,5,FALSE)+N243</f>
        <v>47772</v>
      </c>
      <c r="U243" s="220">
        <f>+VLOOKUP(A243,'Change in Proportion Layers'!$AL$8:$AQ$322,6,FALSE)+O243-3</f>
        <v>67858</v>
      </c>
      <c r="W243" s="220">
        <f>('OPEB Amounts_Report'!H243-'OPEB Amounts_Report'!M243)</f>
        <v>129037</v>
      </c>
      <c r="X243" s="245">
        <f t="shared" si="36"/>
        <v>0</v>
      </c>
    </row>
    <row r="244" spans="1:24" s="8" customFormat="1">
      <c r="A244" s="211">
        <v>3300</v>
      </c>
      <c r="B244" s="212" t="s">
        <v>229</v>
      </c>
      <c r="C244" s="46">
        <f t="shared" si="31"/>
        <v>-219764</v>
      </c>
      <c r="D244" s="46">
        <f t="shared" si="32"/>
        <v>-261305</v>
      </c>
      <c r="E244" s="46">
        <f t="shared" si="33"/>
        <v>-149432</v>
      </c>
      <c r="F244" s="46">
        <f t="shared" si="34"/>
        <v>-45012</v>
      </c>
      <c r="G244" s="46">
        <f t="shared" si="35"/>
        <v>30843</v>
      </c>
      <c r="I244" s="49"/>
      <c r="K244" s="220">
        <f>ROUND(VLOOKUP($A244,'Contribution Allocation_Report'!$A$9:$D$314,4,FALSE)*$K$326,0)</f>
        <v>-171126</v>
      </c>
      <c r="L244" s="220">
        <f>ROUND(VLOOKUP($A244,'Contribution Allocation_Report'!$A$9:$D$314,4,FALSE)*$L$326,0)</f>
        <v>-234699</v>
      </c>
      <c r="M244" s="220">
        <f>ROUND(VLOOKUP($A244,'Contribution Allocation_Report'!$A$9:$D$314,4,FALSE)*$M$326,0)</f>
        <v>-153454</v>
      </c>
      <c r="N244" s="220">
        <f>ROUND(VLOOKUP($A244,'Contribution Allocation_Report'!$A$9:$D$314,4,FALSE)*$N$326,0)</f>
        <v>-39251</v>
      </c>
      <c r="O244" s="220">
        <f>ROUND(VLOOKUP($A244,'Contribution Allocation_Report'!$A$9:$D$314,4,FALSE)*$O$326,0)</f>
        <v>16897</v>
      </c>
      <c r="Q244" s="220">
        <f>+VLOOKUP(A244,'Change in Proportion Layers'!$AL$8:$AQ$322,2,FALSE)+K244</f>
        <v>-219764</v>
      </c>
      <c r="R244" s="220">
        <f>+VLOOKUP(A244,'Change in Proportion Layers'!$AL$8:$AQ$322,3,FALSE)+L244</f>
        <v>-261305</v>
      </c>
      <c r="S244" s="220">
        <f>+VLOOKUP(A244,'Change in Proportion Layers'!$AL$8:$AQ$322,4,FALSE)+M244</f>
        <v>-149432</v>
      </c>
      <c r="T244" s="220">
        <f>+VLOOKUP(A244,'Change in Proportion Layers'!$AL$8:$AQ$322,5,FALSE)+N244</f>
        <v>-45012</v>
      </c>
      <c r="U244" s="220">
        <f>+VLOOKUP(A244,'Change in Proportion Layers'!$AL$8:$AQ$322,6,FALSE)+O244-2</f>
        <v>30843</v>
      </c>
      <c r="W244" s="220">
        <f>('OPEB Amounts_Report'!H244-'OPEB Amounts_Report'!M244)</f>
        <v>-644670</v>
      </c>
      <c r="X244" s="245">
        <f t="shared" si="36"/>
        <v>0</v>
      </c>
    </row>
    <row r="245" spans="1:24" s="8" customFormat="1">
      <c r="A245" s="209">
        <v>8026</v>
      </c>
      <c r="B245" s="210" t="s">
        <v>230</v>
      </c>
      <c r="C245" s="219">
        <f t="shared" si="31"/>
        <v>-1225406</v>
      </c>
      <c r="D245" s="219">
        <f t="shared" si="32"/>
        <v>-1442629</v>
      </c>
      <c r="E245" s="219">
        <f t="shared" si="33"/>
        <v>-887628</v>
      </c>
      <c r="F245" s="219">
        <f t="shared" si="34"/>
        <v>-279960</v>
      </c>
      <c r="G245" s="219">
        <f t="shared" si="35"/>
        <v>53065</v>
      </c>
      <c r="I245" s="49"/>
      <c r="K245" s="220">
        <f>ROUND(VLOOKUP($A245,'Contribution Allocation_Report'!$A$9:$D$314,4,FALSE)*$K$326,0)</f>
        <v>-915986</v>
      </c>
      <c r="L245" s="220">
        <f>ROUND(VLOOKUP($A245,'Contribution Allocation_Report'!$A$9:$D$314,4,FALSE)*$L$326,0)</f>
        <v>-1256272</v>
      </c>
      <c r="M245" s="220">
        <f>ROUND(VLOOKUP($A245,'Contribution Allocation_Report'!$A$9:$D$314,4,FALSE)*$M$326,0)</f>
        <v>-821391</v>
      </c>
      <c r="N245" s="220">
        <f>ROUND(VLOOKUP($A245,'Contribution Allocation_Report'!$A$9:$D$314,4,FALSE)*$N$326,0)</f>
        <v>-210100</v>
      </c>
      <c r="O245" s="220">
        <f>ROUND(VLOOKUP($A245,'Contribution Allocation_Report'!$A$9:$D$314,4,FALSE)*$O$326,0)</f>
        <v>90442</v>
      </c>
      <c r="Q245" s="220">
        <f>+VLOOKUP(A245,'Change in Proportion Layers'!$AL$8:$AQ$322,2,FALSE)+K245</f>
        <v>-1225406</v>
      </c>
      <c r="R245" s="220">
        <f>+VLOOKUP(A245,'Change in Proportion Layers'!$AL$8:$AQ$322,3,FALSE)+L245</f>
        <v>-1442629</v>
      </c>
      <c r="S245" s="220">
        <f>+VLOOKUP(A245,'Change in Proportion Layers'!$AL$8:$AQ$322,4,FALSE)+M245</f>
        <v>-887628</v>
      </c>
      <c r="T245" s="220">
        <f>+VLOOKUP(A245,'Change in Proportion Layers'!$AL$8:$AQ$322,5,FALSE)+N245</f>
        <v>-279960</v>
      </c>
      <c r="U245" s="220">
        <f>+VLOOKUP(A245,'Change in Proportion Layers'!$AL$8:$AQ$322,6,FALSE)+O245</f>
        <v>53065</v>
      </c>
      <c r="W245" s="220">
        <f>('OPEB Amounts_Report'!H245-'OPEB Amounts_Report'!M245)</f>
        <v>-3782558</v>
      </c>
      <c r="X245" s="245">
        <f t="shared" si="36"/>
        <v>0</v>
      </c>
    </row>
    <row r="246" spans="1:24" s="8" customFormat="1">
      <c r="A246" s="211">
        <v>32119</v>
      </c>
      <c r="B246" s="212" t="s">
        <v>231</v>
      </c>
      <c r="C246" s="46">
        <f t="shared" si="31"/>
        <v>-42823</v>
      </c>
      <c r="D246" s="46">
        <f t="shared" si="32"/>
        <v>-34933</v>
      </c>
      <c r="E246" s="46">
        <f t="shared" si="33"/>
        <v>-31608</v>
      </c>
      <c r="F246" s="46">
        <f t="shared" si="34"/>
        <v>-19889</v>
      </c>
      <c r="G246" s="46">
        <f t="shared" si="35"/>
        <v>-13805</v>
      </c>
      <c r="I246" s="49"/>
      <c r="K246" s="220">
        <f>ROUND(VLOOKUP($A246,'Contribution Allocation_Report'!$A$9:$D$314,4,FALSE)*$K$326,0)</f>
        <v>-27648</v>
      </c>
      <c r="L246" s="220">
        <f>ROUND(VLOOKUP($A246,'Contribution Allocation_Report'!$A$9:$D$314,4,FALSE)*$L$326,0)</f>
        <v>-37919</v>
      </c>
      <c r="M246" s="220">
        <f>ROUND(VLOOKUP($A246,'Contribution Allocation_Report'!$A$9:$D$314,4,FALSE)*$M$326,0)</f>
        <v>-24792</v>
      </c>
      <c r="N246" s="220">
        <f>ROUND(VLOOKUP($A246,'Contribution Allocation_Report'!$A$9:$D$314,4,FALSE)*$N$326,0)</f>
        <v>-6342</v>
      </c>
      <c r="O246" s="220">
        <f>ROUND(VLOOKUP($A246,'Contribution Allocation_Report'!$A$9:$D$314,4,FALSE)*$O$326,0)</f>
        <v>2730</v>
      </c>
      <c r="Q246" s="220">
        <f>+VLOOKUP(A246,'Change in Proportion Layers'!$AL$8:$AQ$322,2,FALSE)+K246</f>
        <v>-42823</v>
      </c>
      <c r="R246" s="220">
        <f>+VLOOKUP(A246,'Change in Proportion Layers'!$AL$8:$AQ$322,3,FALSE)+L246</f>
        <v>-34933</v>
      </c>
      <c r="S246" s="220">
        <f>+VLOOKUP(A246,'Change in Proportion Layers'!$AL$8:$AQ$322,4,FALSE)+M246</f>
        <v>-31608</v>
      </c>
      <c r="T246" s="220">
        <f>+VLOOKUP(A246,'Change in Proportion Layers'!$AL$8:$AQ$322,5,FALSE)+N246</f>
        <v>-19889</v>
      </c>
      <c r="U246" s="220">
        <f>+VLOOKUP(A246,'Change in Proportion Layers'!$AL$8:$AQ$322,6,FALSE)+O246+1</f>
        <v>-13805</v>
      </c>
      <c r="W246" s="220">
        <f>('OPEB Amounts_Report'!H246-'OPEB Amounts_Report'!M246)</f>
        <v>-143058</v>
      </c>
      <c r="X246" s="245">
        <f t="shared" si="36"/>
        <v>0</v>
      </c>
    </row>
    <row r="247" spans="1:24" s="8" customFormat="1">
      <c r="A247" s="209">
        <v>25076</v>
      </c>
      <c r="B247" s="210" t="s">
        <v>232</v>
      </c>
      <c r="C247" s="219">
        <f t="shared" si="31"/>
        <v>-627729</v>
      </c>
      <c r="D247" s="219">
        <f t="shared" si="32"/>
        <v>-852135</v>
      </c>
      <c r="E247" s="219">
        <f t="shared" si="33"/>
        <v>-500834</v>
      </c>
      <c r="F247" s="219">
        <f t="shared" si="34"/>
        <v>-100342</v>
      </c>
      <c r="G247" s="219">
        <f t="shared" si="35"/>
        <v>21605</v>
      </c>
      <c r="I247" s="49"/>
      <c r="K247" s="220">
        <f>ROUND(VLOOKUP($A247,'Contribution Allocation_Report'!$A$9:$D$314,4,FALSE)*$K$326,0)</f>
        <v>-576873</v>
      </c>
      <c r="L247" s="220">
        <f>ROUND(VLOOKUP($A247,'Contribution Allocation_Report'!$A$9:$D$314,4,FALSE)*$L$326,0)</f>
        <v>-791180</v>
      </c>
      <c r="M247" s="220">
        <f>ROUND(VLOOKUP($A247,'Contribution Allocation_Report'!$A$9:$D$314,4,FALSE)*$M$326,0)</f>
        <v>-517299</v>
      </c>
      <c r="N247" s="220">
        <f>ROUND(VLOOKUP($A247,'Contribution Allocation_Report'!$A$9:$D$314,4,FALSE)*$N$326,0)</f>
        <v>-132318</v>
      </c>
      <c r="O247" s="220">
        <f>ROUND(VLOOKUP($A247,'Contribution Allocation_Report'!$A$9:$D$314,4,FALSE)*$O$326,0)</f>
        <v>56959</v>
      </c>
      <c r="Q247" s="220">
        <f>+VLOOKUP(A247,'Change in Proportion Layers'!$AL$8:$AQ$322,2,FALSE)+K247</f>
        <v>-627729</v>
      </c>
      <c r="R247" s="220">
        <f>+VLOOKUP(A247,'Change in Proportion Layers'!$AL$8:$AQ$322,3,FALSE)+L247</f>
        <v>-852135</v>
      </c>
      <c r="S247" s="220">
        <f>+VLOOKUP(A247,'Change in Proportion Layers'!$AL$8:$AQ$322,4,FALSE)+M247</f>
        <v>-500834</v>
      </c>
      <c r="T247" s="220">
        <f>+VLOOKUP(A247,'Change in Proportion Layers'!$AL$8:$AQ$322,5,FALSE)+N247</f>
        <v>-100342</v>
      </c>
      <c r="U247" s="220">
        <f>+VLOOKUP(A247,'Change in Proportion Layers'!$AL$8:$AQ$322,6,FALSE)+O247</f>
        <v>21605</v>
      </c>
      <c r="W247" s="220">
        <f>('OPEB Amounts_Report'!H247-'OPEB Amounts_Report'!M247)</f>
        <v>-2059435</v>
      </c>
      <c r="X247" s="245">
        <f t="shared" si="36"/>
        <v>0</v>
      </c>
    </row>
    <row r="248" spans="1:24" s="8" customFormat="1">
      <c r="A248" s="211">
        <v>2440</v>
      </c>
      <c r="B248" s="212" t="s">
        <v>401</v>
      </c>
      <c r="C248" s="46">
        <f t="shared" si="31"/>
        <v>203096</v>
      </c>
      <c r="D248" s="46">
        <f t="shared" si="32"/>
        <v>46030</v>
      </c>
      <c r="E248" s="46">
        <f t="shared" si="33"/>
        <v>48102</v>
      </c>
      <c r="F248" s="46">
        <f t="shared" si="34"/>
        <v>75707</v>
      </c>
      <c r="G248" s="46">
        <f t="shared" si="35"/>
        <v>84654</v>
      </c>
      <c r="I248" s="49"/>
      <c r="K248" s="220">
        <f>ROUND(VLOOKUP($A248,'Contribution Allocation_Report'!$A$9:$D$314,4,FALSE)*$K$326,0)</f>
        <v>-134373</v>
      </c>
      <c r="L248" s="220">
        <f>ROUND(VLOOKUP($A248,'Contribution Allocation_Report'!$A$9:$D$314,4,FALSE)*$L$326,0)</f>
        <v>-184292</v>
      </c>
      <c r="M248" s="220">
        <f>ROUND(VLOOKUP($A248,'Contribution Allocation_Report'!$A$9:$D$314,4,FALSE)*$M$326,0)</f>
        <v>-120496</v>
      </c>
      <c r="N248" s="220">
        <f>ROUND(VLOOKUP($A248,'Contribution Allocation_Report'!$A$9:$D$314,4,FALSE)*$N$326,0)</f>
        <v>-30821</v>
      </c>
      <c r="O248" s="220">
        <f>ROUND(VLOOKUP($A248,'Contribution Allocation_Report'!$A$9:$D$314,4,FALSE)*$O$326,0)</f>
        <v>13268</v>
      </c>
      <c r="Q248" s="220">
        <f>+VLOOKUP(A248,'Change in Proportion Layers'!$AL$8:$AQ$322,2,FALSE)+K248</f>
        <v>203096</v>
      </c>
      <c r="R248" s="220">
        <f>+VLOOKUP(A248,'Change in Proportion Layers'!$AL$8:$AQ$322,3,FALSE)+L248</f>
        <v>46030</v>
      </c>
      <c r="S248" s="220">
        <f>+VLOOKUP(A248,'Change in Proportion Layers'!$AL$8:$AQ$322,4,FALSE)+M248</f>
        <v>48102</v>
      </c>
      <c r="T248" s="220">
        <f>+VLOOKUP(A248,'Change in Proportion Layers'!$AL$8:$AQ$322,5,FALSE)+N248</f>
        <v>75707</v>
      </c>
      <c r="U248" s="220">
        <f>+VLOOKUP(A248,'Change in Proportion Layers'!$AL$8:$AQ$322,6,FALSE)+O248+2</f>
        <v>84654</v>
      </c>
      <c r="W248" s="220">
        <f>('OPEB Amounts_Report'!H248-'OPEB Amounts_Report'!M248)</f>
        <v>457589</v>
      </c>
      <c r="X248" s="245">
        <f t="shared" si="36"/>
        <v>0</v>
      </c>
    </row>
    <row r="249" spans="1:24" s="8" customFormat="1">
      <c r="A249" s="209">
        <v>2309</v>
      </c>
      <c r="B249" s="210" t="s">
        <v>233</v>
      </c>
      <c r="C249" s="219">
        <f t="shared" si="31"/>
        <v>-164759</v>
      </c>
      <c r="D249" s="219">
        <f t="shared" si="32"/>
        <v>-296147</v>
      </c>
      <c r="E249" s="219">
        <f t="shared" si="33"/>
        <v>-208515</v>
      </c>
      <c r="F249" s="219">
        <f t="shared" si="34"/>
        <v>-23680</v>
      </c>
      <c r="G249" s="219">
        <f t="shared" si="35"/>
        <v>50199</v>
      </c>
      <c r="I249" s="49"/>
      <c r="K249" s="220">
        <f>ROUND(VLOOKUP($A249,'Contribution Allocation_Report'!$A$9:$D$314,4,FALSE)*$K$326,0)</f>
        <v>-255227</v>
      </c>
      <c r="L249" s="220">
        <f>ROUND(VLOOKUP($A249,'Contribution Allocation_Report'!$A$9:$D$314,4,FALSE)*$L$326,0)</f>
        <v>-350043</v>
      </c>
      <c r="M249" s="220">
        <f>ROUND(VLOOKUP($A249,'Contribution Allocation_Report'!$A$9:$D$314,4,FALSE)*$M$326,0)</f>
        <v>-228869</v>
      </c>
      <c r="N249" s="220">
        <f>ROUND(VLOOKUP($A249,'Contribution Allocation_Report'!$A$9:$D$314,4,FALSE)*$N$326,0)</f>
        <v>-58542</v>
      </c>
      <c r="O249" s="220">
        <f>ROUND(VLOOKUP($A249,'Contribution Allocation_Report'!$A$9:$D$314,4,FALSE)*$O$326,0)</f>
        <v>25200</v>
      </c>
      <c r="Q249" s="220">
        <f>+VLOOKUP(A249,'Change in Proportion Layers'!$AL$8:$AQ$322,2,FALSE)+K249</f>
        <v>-164759</v>
      </c>
      <c r="R249" s="220">
        <f>+VLOOKUP(A249,'Change in Proportion Layers'!$AL$8:$AQ$322,3,FALSE)+L249</f>
        <v>-296147</v>
      </c>
      <c r="S249" s="220">
        <f>+VLOOKUP(A249,'Change in Proportion Layers'!$AL$8:$AQ$322,4,FALSE)+M249</f>
        <v>-208515</v>
      </c>
      <c r="T249" s="220">
        <f>+VLOOKUP(A249,'Change in Proportion Layers'!$AL$8:$AQ$322,5,FALSE)+N249</f>
        <v>-23680</v>
      </c>
      <c r="U249" s="220">
        <f>+VLOOKUP(A249,'Change in Proportion Layers'!$AL$8:$AQ$322,6,FALSE)+O249</f>
        <v>50199</v>
      </c>
      <c r="W249" s="220">
        <f>('OPEB Amounts_Report'!H249-'OPEB Amounts_Report'!M249)</f>
        <v>-642902</v>
      </c>
      <c r="X249" s="245">
        <f t="shared" si="36"/>
        <v>0</v>
      </c>
    </row>
    <row r="250" spans="1:24" s="8" customFormat="1">
      <c r="A250" s="211">
        <v>2396</v>
      </c>
      <c r="B250" s="212" t="s">
        <v>234</v>
      </c>
      <c r="C250" s="46">
        <f t="shared" si="31"/>
        <v>-24333</v>
      </c>
      <c r="D250" s="46">
        <f t="shared" si="32"/>
        <v>-69298</v>
      </c>
      <c r="E250" s="46">
        <f t="shared" si="33"/>
        <v>-54555</v>
      </c>
      <c r="F250" s="46">
        <f t="shared" si="34"/>
        <v>-27805</v>
      </c>
      <c r="G250" s="46">
        <f t="shared" si="35"/>
        <v>-9420</v>
      </c>
      <c r="I250" s="49"/>
      <c r="K250" s="220">
        <f>ROUND(VLOOKUP($A250,'Contribution Allocation_Report'!$A$9:$D$314,4,FALSE)*$K$326,0)</f>
        <v>-64770</v>
      </c>
      <c r="L250" s="220">
        <f>ROUND(VLOOKUP($A250,'Contribution Allocation_Report'!$A$9:$D$314,4,FALSE)*$L$326,0)</f>
        <v>-88832</v>
      </c>
      <c r="M250" s="220">
        <f>ROUND(VLOOKUP($A250,'Contribution Allocation_Report'!$A$9:$D$314,4,FALSE)*$M$326,0)</f>
        <v>-58081</v>
      </c>
      <c r="N250" s="220">
        <f>ROUND(VLOOKUP($A250,'Contribution Allocation_Report'!$A$9:$D$314,4,FALSE)*$N$326,0)</f>
        <v>-14856</v>
      </c>
      <c r="O250" s="220">
        <f>ROUND(VLOOKUP($A250,'Contribution Allocation_Report'!$A$9:$D$314,4,FALSE)*$O$326,0)</f>
        <v>6395</v>
      </c>
      <c r="Q250" s="220">
        <f>+VLOOKUP(A250,'Change in Proportion Layers'!$AL$8:$AQ$322,2,FALSE)+K250</f>
        <v>-24333</v>
      </c>
      <c r="R250" s="220">
        <f>+VLOOKUP(A250,'Change in Proportion Layers'!$AL$8:$AQ$322,3,FALSE)+L250</f>
        <v>-69298</v>
      </c>
      <c r="S250" s="220">
        <f>+VLOOKUP(A250,'Change in Proportion Layers'!$AL$8:$AQ$322,4,FALSE)+M250</f>
        <v>-54555</v>
      </c>
      <c r="T250" s="220">
        <f>+VLOOKUP(A250,'Change in Proportion Layers'!$AL$8:$AQ$322,5,FALSE)+N250</f>
        <v>-27805</v>
      </c>
      <c r="U250" s="220">
        <f>+VLOOKUP(A250,'Change in Proportion Layers'!$AL$8:$AQ$322,6,FALSE)+O250</f>
        <v>-9420</v>
      </c>
      <c r="W250" s="220">
        <f>('OPEB Amounts_Report'!H250-'OPEB Amounts_Report'!M250)</f>
        <v>-185411</v>
      </c>
      <c r="X250" s="245">
        <f t="shared" si="36"/>
        <v>0</v>
      </c>
    </row>
    <row r="251" spans="1:24" s="192" customFormat="1">
      <c r="A251" s="209" t="s">
        <v>606</v>
      </c>
      <c r="B251" s="210" t="s">
        <v>484</v>
      </c>
      <c r="C251" s="219">
        <f t="shared" ref="C251" si="47">+Q251</f>
        <v>442470</v>
      </c>
      <c r="D251" s="219">
        <f t="shared" ref="D251" si="48">+R251</f>
        <v>268947</v>
      </c>
      <c r="E251" s="219">
        <f t="shared" ref="E251" si="49">+S251</f>
        <v>490707</v>
      </c>
      <c r="F251" s="219">
        <f t="shared" ref="F251" si="50">+T251</f>
        <v>802422</v>
      </c>
      <c r="G251" s="219">
        <f t="shared" ref="G251" si="51">+U251</f>
        <v>892008</v>
      </c>
      <c r="I251" s="221"/>
      <c r="K251" s="220">
        <f>ROUND(VLOOKUP($A251,'Contribution Allocation_Report'!$A$9:$D$314,4,FALSE)*$K$326,0)</f>
        <v>-467089</v>
      </c>
      <c r="L251" s="220">
        <f>ROUND(VLOOKUP($A251,'Contribution Allocation_Report'!$A$9:$D$314,4,FALSE)*$L$326,0)</f>
        <v>-640612</v>
      </c>
      <c r="M251" s="220">
        <f>ROUND(VLOOKUP($A251,'Contribution Allocation_Report'!$A$9:$D$314,4,FALSE)*$M$326,0)</f>
        <v>-418852</v>
      </c>
      <c r="N251" s="220">
        <f>ROUND(VLOOKUP($A251,'Contribution Allocation_Report'!$A$9:$D$314,4,FALSE)*$N$326,0)</f>
        <v>-107137</v>
      </c>
      <c r="O251" s="220">
        <f>ROUND(VLOOKUP($A251,'Contribution Allocation_Report'!$A$9:$D$314,4,FALSE)*$O$326,0)</f>
        <v>46119</v>
      </c>
      <c r="Q251" s="220">
        <f>+VLOOKUP(A251,'Change in Proportion Layers'!$AL$8:$AQ$322,2,FALSE)+K251</f>
        <v>442470</v>
      </c>
      <c r="R251" s="220">
        <f>+VLOOKUP(A251,'Change in Proportion Layers'!$AL$8:$AQ$322,3,FALSE)+L251</f>
        <v>268947</v>
      </c>
      <c r="S251" s="220">
        <f>+VLOOKUP(A251,'Change in Proportion Layers'!$AL$8:$AQ$322,4,FALSE)+M251</f>
        <v>490707</v>
      </c>
      <c r="T251" s="220">
        <f>+VLOOKUP(A251,'Change in Proportion Layers'!$AL$8:$AQ$322,5,FALSE)+N251</f>
        <v>802422</v>
      </c>
      <c r="U251" s="220">
        <f>+VLOOKUP(A251,'Change in Proportion Layers'!$AL$8:$AQ$322,6,FALSE)+O251+1</f>
        <v>892008</v>
      </c>
      <c r="W251" s="220">
        <f>('OPEB Amounts_Report'!H251-'OPEB Amounts_Report'!M251)</f>
        <v>2896554</v>
      </c>
      <c r="X251" s="245">
        <f t="shared" ref="X251" si="52">SUM(Q251:U251)-W251</f>
        <v>0</v>
      </c>
    </row>
    <row r="252" spans="1:24" s="8" customFormat="1">
      <c r="A252" s="211">
        <v>3380</v>
      </c>
      <c r="B252" s="212" t="s">
        <v>235</v>
      </c>
      <c r="C252" s="46">
        <f t="shared" si="31"/>
        <v>-48511</v>
      </c>
      <c r="D252" s="46">
        <f t="shared" si="32"/>
        <v>-70953</v>
      </c>
      <c r="E252" s="46">
        <f t="shared" si="33"/>
        <v>-58939</v>
      </c>
      <c r="F252" s="46">
        <f t="shared" si="34"/>
        <v>-23947</v>
      </c>
      <c r="G252" s="46">
        <f t="shared" si="35"/>
        <v>1716</v>
      </c>
      <c r="I252" s="49"/>
      <c r="K252" s="220">
        <f>ROUND(VLOOKUP($A252,'Contribution Allocation_Report'!$A$9:$D$314,4,FALSE)*$K$326,0)</f>
        <v>-43595</v>
      </c>
      <c r="L252" s="220">
        <f>ROUND(VLOOKUP($A252,'Contribution Allocation_Report'!$A$9:$D$314,4,FALSE)*$L$326,0)</f>
        <v>-59791</v>
      </c>
      <c r="M252" s="220">
        <f>ROUND(VLOOKUP($A252,'Contribution Allocation_Report'!$A$9:$D$314,4,FALSE)*$M$326,0)</f>
        <v>-39093</v>
      </c>
      <c r="N252" s="220">
        <f>ROUND(VLOOKUP($A252,'Contribution Allocation_Report'!$A$9:$D$314,4,FALSE)*$N$326,0)</f>
        <v>-9999</v>
      </c>
      <c r="O252" s="220">
        <f>ROUND(VLOOKUP($A252,'Contribution Allocation_Report'!$A$9:$D$314,4,FALSE)*$O$326,0)</f>
        <v>4304</v>
      </c>
      <c r="Q252" s="220">
        <f>+VLOOKUP(A252,'Change in Proportion Layers'!$AL$8:$AQ$322,2,FALSE)+K252</f>
        <v>-48511</v>
      </c>
      <c r="R252" s="220">
        <f>+VLOOKUP(A252,'Change in Proportion Layers'!$AL$8:$AQ$322,3,FALSE)+L252</f>
        <v>-70953</v>
      </c>
      <c r="S252" s="220">
        <f>+VLOOKUP(A252,'Change in Proportion Layers'!$AL$8:$AQ$322,4,FALSE)+M252</f>
        <v>-58939</v>
      </c>
      <c r="T252" s="220">
        <f>+VLOOKUP(A252,'Change in Proportion Layers'!$AL$8:$AQ$322,5,FALSE)+N252</f>
        <v>-23947</v>
      </c>
      <c r="U252" s="220">
        <f>+VLOOKUP(A252,'Change in Proportion Layers'!$AL$8:$AQ$322,6,FALSE)+O252+1</f>
        <v>1716</v>
      </c>
      <c r="W252" s="220">
        <f>('OPEB Amounts_Report'!H252-'OPEB Amounts_Report'!M252)</f>
        <v>-200634</v>
      </c>
      <c r="X252" s="245">
        <f t="shared" si="36"/>
        <v>0</v>
      </c>
    </row>
    <row r="253" spans="1:24" s="8" customFormat="1">
      <c r="A253" s="209">
        <v>2420</v>
      </c>
      <c r="B253" s="210" t="s">
        <v>236</v>
      </c>
      <c r="C253" s="219">
        <f t="shared" si="31"/>
        <v>-106925</v>
      </c>
      <c r="D253" s="219">
        <f t="shared" si="32"/>
        <v>-106518</v>
      </c>
      <c r="E253" s="219">
        <f t="shared" si="33"/>
        <v>-63943</v>
      </c>
      <c r="F253" s="219">
        <f t="shared" si="34"/>
        <v>-1129</v>
      </c>
      <c r="G253" s="219">
        <f t="shared" si="35"/>
        <v>14324</v>
      </c>
      <c r="I253" s="49"/>
      <c r="K253" s="220">
        <f>ROUND(VLOOKUP($A253,'Contribution Allocation_Report'!$A$9:$D$314,4,FALSE)*$K$326,0)</f>
        <v>-74181</v>
      </c>
      <c r="L253" s="220">
        <f>ROUND(VLOOKUP($A253,'Contribution Allocation_Report'!$A$9:$D$314,4,FALSE)*$L$326,0)</f>
        <v>-101739</v>
      </c>
      <c r="M253" s="220">
        <f>ROUND(VLOOKUP($A253,'Contribution Allocation_Report'!$A$9:$D$314,4,FALSE)*$M$326,0)</f>
        <v>-66520</v>
      </c>
      <c r="N253" s="220">
        <f>ROUND(VLOOKUP($A253,'Contribution Allocation_Report'!$A$9:$D$314,4,FALSE)*$N$326,0)</f>
        <v>-17015</v>
      </c>
      <c r="O253" s="220">
        <f>ROUND(VLOOKUP($A253,'Contribution Allocation_Report'!$A$9:$D$314,4,FALSE)*$O$326,0)</f>
        <v>7324</v>
      </c>
      <c r="Q253" s="220">
        <f>+VLOOKUP(A253,'Change in Proportion Layers'!$AL$8:$AQ$322,2,FALSE)+K253</f>
        <v>-106925</v>
      </c>
      <c r="R253" s="220">
        <f>+VLOOKUP(A253,'Change in Proportion Layers'!$AL$8:$AQ$322,3,FALSE)+L253</f>
        <v>-106518</v>
      </c>
      <c r="S253" s="220">
        <f>+VLOOKUP(A253,'Change in Proportion Layers'!$AL$8:$AQ$322,4,FALSE)+M253</f>
        <v>-63943</v>
      </c>
      <c r="T253" s="220">
        <f>+VLOOKUP(A253,'Change in Proportion Layers'!$AL$8:$AQ$322,5,FALSE)+N253</f>
        <v>-1129</v>
      </c>
      <c r="U253" s="220">
        <f>+VLOOKUP(A253,'Change in Proportion Layers'!$AL$8:$AQ$322,6,FALSE)+O253</f>
        <v>14324</v>
      </c>
      <c r="W253" s="220">
        <f>('OPEB Amounts_Report'!H253-'OPEB Amounts_Report'!M253)</f>
        <v>-264191</v>
      </c>
      <c r="X253" s="245">
        <f t="shared" si="36"/>
        <v>0</v>
      </c>
    </row>
    <row r="254" spans="1:24" s="8" customFormat="1">
      <c r="A254" s="211">
        <v>2740</v>
      </c>
      <c r="B254" s="212" t="s">
        <v>237</v>
      </c>
      <c r="C254" s="46">
        <f t="shared" si="31"/>
        <v>-13707</v>
      </c>
      <c r="D254" s="46">
        <f t="shared" si="32"/>
        <v>-11564</v>
      </c>
      <c r="E254" s="46">
        <f t="shared" si="33"/>
        <v>-15372</v>
      </c>
      <c r="F254" s="46">
        <f t="shared" si="34"/>
        <v>-15087</v>
      </c>
      <c r="G254" s="46">
        <f t="shared" si="35"/>
        <v>-6147</v>
      </c>
      <c r="I254" s="49"/>
      <c r="K254" s="220">
        <f>ROUND(VLOOKUP($A254,'Contribution Allocation_Report'!$A$9:$D$314,4,FALSE)*$K$326,0)</f>
        <v>-7681</v>
      </c>
      <c r="L254" s="220">
        <f>ROUND(VLOOKUP($A254,'Contribution Allocation_Report'!$A$9:$D$314,4,FALSE)*$L$326,0)</f>
        <v>-10534</v>
      </c>
      <c r="M254" s="220">
        <f>ROUND(VLOOKUP($A254,'Contribution Allocation_Report'!$A$9:$D$314,4,FALSE)*$M$326,0)</f>
        <v>-6888</v>
      </c>
      <c r="N254" s="220">
        <f>ROUND(VLOOKUP($A254,'Contribution Allocation_Report'!$A$9:$D$314,4,FALSE)*$N$326,0)</f>
        <v>-1762</v>
      </c>
      <c r="O254" s="220">
        <f>ROUND(VLOOKUP($A254,'Contribution Allocation_Report'!$A$9:$D$314,4,FALSE)*$O$326,0)</f>
        <v>758</v>
      </c>
      <c r="Q254" s="220">
        <f>+VLOOKUP(A254,'Change in Proportion Layers'!$AL$8:$AQ$322,2,FALSE)+K254</f>
        <v>-13707</v>
      </c>
      <c r="R254" s="220">
        <f>+VLOOKUP(A254,'Change in Proportion Layers'!$AL$8:$AQ$322,3,FALSE)+L254</f>
        <v>-11564</v>
      </c>
      <c r="S254" s="220">
        <f>+VLOOKUP(A254,'Change in Proportion Layers'!$AL$8:$AQ$322,4,FALSE)+M254</f>
        <v>-15372</v>
      </c>
      <c r="T254" s="220">
        <f>+VLOOKUP(A254,'Change in Proportion Layers'!$AL$8:$AQ$322,5,FALSE)+N254</f>
        <v>-15087</v>
      </c>
      <c r="U254" s="220">
        <f>+VLOOKUP(A254,'Change in Proportion Layers'!$AL$8:$AQ$322,6,FALSE)+O254</f>
        <v>-6147</v>
      </c>
      <c r="W254" s="220">
        <f>('OPEB Amounts_Report'!H254-'OPEB Amounts_Report'!M254)</f>
        <v>-61877</v>
      </c>
      <c r="X254" s="245">
        <f t="shared" si="36"/>
        <v>0</v>
      </c>
    </row>
    <row r="255" spans="1:24" s="8" customFormat="1">
      <c r="A255" s="209">
        <v>2346</v>
      </c>
      <c r="B255" s="210" t="s">
        <v>238</v>
      </c>
      <c r="C255" s="219">
        <f t="shared" si="31"/>
        <v>-50760</v>
      </c>
      <c r="D255" s="219">
        <f t="shared" si="32"/>
        <v>-70323</v>
      </c>
      <c r="E255" s="219">
        <f t="shared" si="33"/>
        <v>-46879</v>
      </c>
      <c r="F255" s="219">
        <f t="shared" si="34"/>
        <v>-32623</v>
      </c>
      <c r="G255" s="219">
        <f t="shared" si="35"/>
        <v>-13890</v>
      </c>
      <c r="I255" s="49"/>
      <c r="K255" s="220">
        <f>ROUND(VLOOKUP($A255,'Contribution Allocation_Report'!$A$9:$D$314,4,FALSE)*$K$326,0)</f>
        <v>-48053</v>
      </c>
      <c r="L255" s="220">
        <f>ROUND(VLOOKUP($A255,'Contribution Allocation_Report'!$A$9:$D$314,4,FALSE)*$L$326,0)</f>
        <v>-65904</v>
      </c>
      <c r="M255" s="220">
        <f>ROUND(VLOOKUP($A255,'Contribution Allocation_Report'!$A$9:$D$314,4,FALSE)*$M$326,0)</f>
        <v>-43090</v>
      </c>
      <c r="N255" s="220">
        <f>ROUND(VLOOKUP($A255,'Contribution Allocation_Report'!$A$9:$D$314,4,FALSE)*$N$326,0)</f>
        <v>-11022</v>
      </c>
      <c r="O255" s="220">
        <f>ROUND(VLOOKUP($A255,'Contribution Allocation_Report'!$A$9:$D$314,4,FALSE)*$O$326,0)</f>
        <v>4745</v>
      </c>
      <c r="Q255" s="220">
        <f>+VLOOKUP(A255,'Change in Proportion Layers'!$AL$8:$AQ$322,2,FALSE)+K255</f>
        <v>-50760</v>
      </c>
      <c r="R255" s="220">
        <f>+VLOOKUP(A255,'Change in Proportion Layers'!$AL$8:$AQ$322,3,FALSE)+L255</f>
        <v>-70323</v>
      </c>
      <c r="S255" s="220">
        <f>+VLOOKUP(A255,'Change in Proportion Layers'!$AL$8:$AQ$322,4,FALSE)+M255</f>
        <v>-46879</v>
      </c>
      <c r="T255" s="220">
        <f>+VLOOKUP(A255,'Change in Proportion Layers'!$AL$8:$AQ$322,5,FALSE)+N255</f>
        <v>-32623</v>
      </c>
      <c r="U255" s="220">
        <f>+VLOOKUP(A255,'Change in Proportion Layers'!$AL$8:$AQ$322,6,FALSE)+O255-2</f>
        <v>-13890</v>
      </c>
      <c r="W255" s="220">
        <f>('OPEB Amounts_Report'!H255-'OPEB Amounts_Report'!M255)</f>
        <v>-214475</v>
      </c>
      <c r="X255" s="245">
        <f t="shared" si="36"/>
        <v>0</v>
      </c>
    </row>
    <row r="256" spans="1:24" s="8" customFormat="1">
      <c r="A256" s="211">
        <v>21150</v>
      </c>
      <c r="B256" s="212" t="s">
        <v>239</v>
      </c>
      <c r="C256" s="46">
        <f t="shared" si="31"/>
        <v>-26031</v>
      </c>
      <c r="D256" s="46">
        <f t="shared" si="32"/>
        <v>-90891</v>
      </c>
      <c r="E256" s="46">
        <f t="shared" si="33"/>
        <v>-17270</v>
      </c>
      <c r="F256" s="46">
        <f t="shared" si="34"/>
        <v>103777</v>
      </c>
      <c r="G256" s="46">
        <f t="shared" si="35"/>
        <v>152780</v>
      </c>
      <c r="I256" s="49"/>
      <c r="K256" s="220">
        <f>ROUND(VLOOKUP($A256,'Contribution Allocation_Report'!$A$9:$D$314,4,FALSE)*$K$326,0)</f>
        <v>-215737</v>
      </c>
      <c r="L256" s="220">
        <f>ROUND(VLOOKUP($A256,'Contribution Allocation_Report'!$A$9:$D$314,4,FALSE)*$L$326,0)</f>
        <v>-295882</v>
      </c>
      <c r="M256" s="220">
        <f>ROUND(VLOOKUP($A256,'Contribution Allocation_Report'!$A$9:$D$314,4,FALSE)*$M$326,0)</f>
        <v>-193457</v>
      </c>
      <c r="N256" s="220">
        <f>ROUND(VLOOKUP($A256,'Contribution Allocation_Report'!$A$9:$D$314,4,FALSE)*$N$326,0)</f>
        <v>-49484</v>
      </c>
      <c r="O256" s="220">
        <f>ROUND(VLOOKUP($A256,'Contribution Allocation_Report'!$A$9:$D$314,4,FALSE)*$O$326,0)</f>
        <v>21301</v>
      </c>
      <c r="Q256" s="220">
        <f>+VLOOKUP(A256,'Change in Proportion Layers'!$AL$8:$AQ$322,2,FALSE)+K256</f>
        <v>-26031</v>
      </c>
      <c r="R256" s="220">
        <f>+VLOOKUP(A256,'Change in Proportion Layers'!$AL$8:$AQ$322,3,FALSE)+L256</f>
        <v>-90891</v>
      </c>
      <c r="S256" s="220">
        <f>+VLOOKUP(A256,'Change in Proportion Layers'!$AL$8:$AQ$322,4,FALSE)+M256</f>
        <v>-17270</v>
      </c>
      <c r="T256" s="220">
        <f>+VLOOKUP(A256,'Change in Proportion Layers'!$AL$8:$AQ$322,5,FALSE)+N256</f>
        <v>103777</v>
      </c>
      <c r="U256" s="220">
        <f>+VLOOKUP(A256,'Change in Proportion Layers'!$AL$8:$AQ$322,6,FALSE)+O256+1</f>
        <v>152780</v>
      </c>
      <c r="W256" s="220">
        <f>('OPEB Amounts_Report'!H256-'OPEB Amounts_Report'!M256)</f>
        <v>122365</v>
      </c>
      <c r="X256" s="245">
        <f t="shared" si="36"/>
        <v>0</v>
      </c>
    </row>
    <row r="257" spans="1:24" s="8" customFormat="1">
      <c r="A257" s="209">
        <v>32098</v>
      </c>
      <c r="B257" s="210" t="s">
        <v>240</v>
      </c>
      <c r="C257" s="219">
        <f t="shared" si="31"/>
        <v>-102791</v>
      </c>
      <c r="D257" s="219">
        <f t="shared" si="32"/>
        <v>-94133</v>
      </c>
      <c r="E257" s="219">
        <f t="shared" si="33"/>
        <v>-70221</v>
      </c>
      <c r="F257" s="219">
        <f t="shared" si="34"/>
        <v>-30512</v>
      </c>
      <c r="G257" s="219">
        <f t="shared" si="35"/>
        <v>-31668</v>
      </c>
      <c r="I257" s="49"/>
      <c r="K257" s="220">
        <f>ROUND(VLOOKUP($A257,'Contribution Allocation_Report'!$A$9:$D$314,4,FALSE)*$K$326,0)</f>
        <v>-48928</v>
      </c>
      <c r="L257" s="220">
        <f>ROUND(VLOOKUP($A257,'Contribution Allocation_Report'!$A$9:$D$314,4,FALSE)*$L$326,0)</f>
        <v>-67104</v>
      </c>
      <c r="M257" s="220">
        <f>ROUND(VLOOKUP($A257,'Contribution Allocation_Report'!$A$9:$D$314,4,FALSE)*$M$326,0)</f>
        <v>-43875</v>
      </c>
      <c r="N257" s="220">
        <f>ROUND(VLOOKUP($A257,'Contribution Allocation_Report'!$A$9:$D$314,4,FALSE)*$N$326,0)</f>
        <v>-11223</v>
      </c>
      <c r="O257" s="220">
        <f>ROUND(VLOOKUP($A257,'Contribution Allocation_Report'!$A$9:$D$314,4,FALSE)*$O$326,0)</f>
        <v>4831</v>
      </c>
      <c r="Q257" s="220">
        <f>+VLOOKUP(A257,'Change in Proportion Layers'!$AL$8:$AQ$322,2,FALSE)+K257</f>
        <v>-102791</v>
      </c>
      <c r="R257" s="220">
        <f>+VLOOKUP(A257,'Change in Proportion Layers'!$AL$8:$AQ$322,3,FALSE)+L257</f>
        <v>-94133</v>
      </c>
      <c r="S257" s="220">
        <f>+VLOOKUP(A257,'Change in Proportion Layers'!$AL$8:$AQ$322,4,FALSE)+M257</f>
        <v>-70221</v>
      </c>
      <c r="T257" s="220">
        <f>+VLOOKUP(A257,'Change in Proportion Layers'!$AL$8:$AQ$322,5,FALSE)+N257</f>
        <v>-30512</v>
      </c>
      <c r="U257" s="220">
        <f>+VLOOKUP(A257,'Change in Proportion Layers'!$AL$8:$AQ$322,6,FALSE)+O257</f>
        <v>-31668</v>
      </c>
      <c r="W257" s="220">
        <f>('OPEB Amounts_Report'!H257-'OPEB Amounts_Report'!M257)</f>
        <v>-329325</v>
      </c>
      <c r="X257" s="245">
        <f t="shared" si="36"/>
        <v>0</v>
      </c>
    </row>
    <row r="258" spans="1:24" s="8" customFormat="1">
      <c r="A258" s="211">
        <v>4520</v>
      </c>
      <c r="B258" s="212" t="s">
        <v>241</v>
      </c>
      <c r="C258" s="46">
        <f t="shared" si="31"/>
        <v>-8328</v>
      </c>
      <c r="D258" s="46">
        <f t="shared" si="32"/>
        <v>-10787</v>
      </c>
      <c r="E258" s="46">
        <f t="shared" si="33"/>
        <v>-8873</v>
      </c>
      <c r="F258" s="46">
        <f t="shared" si="34"/>
        <v>-3941</v>
      </c>
      <c r="G258" s="46">
        <f t="shared" si="35"/>
        <v>579</v>
      </c>
      <c r="I258" s="49"/>
      <c r="K258" s="220">
        <f>ROUND(VLOOKUP($A258,'Contribution Allocation_Report'!$A$9:$D$314,4,FALSE)*$K$326,0)</f>
        <v>-7661</v>
      </c>
      <c r="L258" s="220">
        <f>ROUND(VLOOKUP($A258,'Contribution Allocation_Report'!$A$9:$D$314,4,FALSE)*$L$326,0)</f>
        <v>-10507</v>
      </c>
      <c r="M258" s="220">
        <f>ROUND(VLOOKUP($A258,'Contribution Allocation_Report'!$A$9:$D$314,4,FALSE)*$M$326,0)</f>
        <v>-6870</v>
      </c>
      <c r="N258" s="220">
        <f>ROUND(VLOOKUP($A258,'Contribution Allocation_Report'!$A$9:$D$314,4,FALSE)*$N$326,0)</f>
        <v>-1757</v>
      </c>
      <c r="O258" s="220">
        <f>ROUND(VLOOKUP($A258,'Contribution Allocation_Report'!$A$9:$D$314,4,FALSE)*$O$326,0)</f>
        <v>756</v>
      </c>
      <c r="Q258" s="220">
        <f>+VLOOKUP(A258,'Change in Proportion Layers'!$AL$8:$AQ$322,2,FALSE)+K258</f>
        <v>-8328</v>
      </c>
      <c r="R258" s="220">
        <f>+VLOOKUP(A258,'Change in Proportion Layers'!$AL$8:$AQ$322,3,FALSE)+L258</f>
        <v>-10787</v>
      </c>
      <c r="S258" s="220">
        <f>+VLOOKUP(A258,'Change in Proportion Layers'!$AL$8:$AQ$322,4,FALSE)+M258</f>
        <v>-8873</v>
      </c>
      <c r="T258" s="220">
        <f>+VLOOKUP(A258,'Change in Proportion Layers'!$AL$8:$AQ$322,5,FALSE)+N258</f>
        <v>-3941</v>
      </c>
      <c r="U258" s="220">
        <f>+VLOOKUP(A258,'Change in Proportion Layers'!$AL$8:$AQ$322,6,FALSE)+O258-1</f>
        <v>579</v>
      </c>
      <c r="W258" s="220">
        <f>('OPEB Amounts_Report'!H258-'OPEB Amounts_Report'!M258)</f>
        <v>-31350</v>
      </c>
      <c r="X258" s="245">
        <f t="shared" si="36"/>
        <v>0</v>
      </c>
    </row>
    <row r="259" spans="1:24" s="8" customFormat="1">
      <c r="A259" s="209">
        <v>9030</v>
      </c>
      <c r="B259" s="210" t="s">
        <v>242</v>
      </c>
      <c r="C259" s="219">
        <f t="shared" si="31"/>
        <v>-91668</v>
      </c>
      <c r="D259" s="219">
        <f t="shared" si="32"/>
        <v>-119344</v>
      </c>
      <c r="E259" s="219">
        <f t="shared" si="33"/>
        <v>-84929</v>
      </c>
      <c r="F259" s="219">
        <f t="shared" si="34"/>
        <v>-33055</v>
      </c>
      <c r="G259" s="219">
        <f t="shared" si="35"/>
        <v>8126</v>
      </c>
      <c r="I259" s="49"/>
      <c r="K259" s="220">
        <f>ROUND(VLOOKUP($A259,'Contribution Allocation_Report'!$A$9:$D$314,4,FALSE)*$K$326,0)</f>
        <v>-74010</v>
      </c>
      <c r="L259" s="220">
        <f>ROUND(VLOOKUP($A259,'Contribution Allocation_Report'!$A$9:$D$314,4,FALSE)*$L$326,0)</f>
        <v>-101504</v>
      </c>
      <c r="M259" s="220">
        <f>ROUND(VLOOKUP($A259,'Contribution Allocation_Report'!$A$9:$D$314,4,FALSE)*$M$326,0)</f>
        <v>-66367</v>
      </c>
      <c r="N259" s="220">
        <f>ROUND(VLOOKUP($A259,'Contribution Allocation_Report'!$A$9:$D$314,4,FALSE)*$N$326,0)</f>
        <v>-16976</v>
      </c>
      <c r="O259" s="220">
        <f>ROUND(VLOOKUP($A259,'Contribution Allocation_Report'!$A$9:$D$314,4,FALSE)*$O$326,0)</f>
        <v>7308</v>
      </c>
      <c r="Q259" s="220">
        <f>+VLOOKUP(A259,'Change in Proportion Layers'!$AL$8:$AQ$322,2,FALSE)+K259</f>
        <v>-91668</v>
      </c>
      <c r="R259" s="220">
        <f>+VLOOKUP(A259,'Change in Proportion Layers'!$AL$8:$AQ$322,3,FALSE)+L259</f>
        <v>-119344</v>
      </c>
      <c r="S259" s="220">
        <f>+VLOOKUP(A259,'Change in Proportion Layers'!$AL$8:$AQ$322,4,FALSE)+M259</f>
        <v>-84929</v>
      </c>
      <c r="T259" s="220">
        <f>+VLOOKUP(A259,'Change in Proportion Layers'!$AL$8:$AQ$322,5,FALSE)+N259</f>
        <v>-33055</v>
      </c>
      <c r="U259" s="220">
        <f>+VLOOKUP(A259,'Change in Proportion Layers'!$AL$8:$AQ$322,6,FALSE)+O259-1</f>
        <v>8126</v>
      </c>
      <c r="W259" s="220">
        <f>('OPEB Amounts_Report'!H259-'OPEB Amounts_Report'!M259)</f>
        <v>-320870</v>
      </c>
      <c r="X259" s="245">
        <f t="shared" si="36"/>
        <v>0</v>
      </c>
    </row>
    <row r="260" spans="1:24" s="8" customFormat="1">
      <c r="A260" s="211">
        <v>20265</v>
      </c>
      <c r="B260" s="212" t="s">
        <v>243</v>
      </c>
      <c r="C260" s="46">
        <f t="shared" si="31"/>
        <v>-40580</v>
      </c>
      <c r="D260" s="46">
        <f t="shared" si="32"/>
        <v>-96648</v>
      </c>
      <c r="E260" s="46">
        <f t="shared" si="33"/>
        <v>-25505</v>
      </c>
      <c r="F260" s="46">
        <f t="shared" si="34"/>
        <v>-312</v>
      </c>
      <c r="G260" s="46">
        <f t="shared" si="35"/>
        <v>7600</v>
      </c>
      <c r="I260" s="49"/>
      <c r="K260" s="220">
        <f>ROUND(VLOOKUP($A260,'Contribution Allocation_Report'!$A$9:$D$314,4,FALSE)*$K$326,0)</f>
        <v>-106591</v>
      </c>
      <c r="L260" s="220">
        <f>ROUND(VLOOKUP($A260,'Contribution Allocation_Report'!$A$9:$D$314,4,FALSE)*$L$326,0)</f>
        <v>-146189</v>
      </c>
      <c r="M260" s="220">
        <f>ROUND(VLOOKUP($A260,'Contribution Allocation_Report'!$A$9:$D$314,4,FALSE)*$M$326,0)</f>
        <v>-95583</v>
      </c>
      <c r="N260" s="220">
        <f>ROUND(VLOOKUP($A260,'Contribution Allocation_Report'!$A$9:$D$314,4,FALSE)*$N$326,0)</f>
        <v>-24449</v>
      </c>
      <c r="O260" s="220">
        <f>ROUND(VLOOKUP($A260,'Contribution Allocation_Report'!$A$9:$D$314,4,FALSE)*$O$326,0)</f>
        <v>10524</v>
      </c>
      <c r="Q260" s="220">
        <f>+VLOOKUP(A260,'Change in Proportion Layers'!$AL$8:$AQ$322,2,FALSE)+K260</f>
        <v>-40580</v>
      </c>
      <c r="R260" s="220">
        <f>+VLOOKUP(A260,'Change in Proportion Layers'!$AL$8:$AQ$322,3,FALSE)+L260</f>
        <v>-96648</v>
      </c>
      <c r="S260" s="220">
        <f>+VLOOKUP(A260,'Change in Proportion Layers'!$AL$8:$AQ$322,4,FALSE)+M260</f>
        <v>-25505</v>
      </c>
      <c r="T260" s="220">
        <f>+VLOOKUP(A260,'Change in Proportion Layers'!$AL$8:$AQ$322,5,FALSE)+N260</f>
        <v>-312</v>
      </c>
      <c r="U260" s="220">
        <f>+VLOOKUP(A260,'Change in Proportion Layers'!$AL$8:$AQ$322,6,FALSE)+O260</f>
        <v>7600</v>
      </c>
      <c r="W260" s="220">
        <f>('OPEB Amounts_Report'!H260-'OPEB Amounts_Report'!M260)</f>
        <v>-155445</v>
      </c>
      <c r="X260" s="245">
        <f t="shared" si="36"/>
        <v>0</v>
      </c>
    </row>
    <row r="261" spans="1:24" s="8" customFormat="1">
      <c r="A261" s="209">
        <v>20307</v>
      </c>
      <c r="B261" s="210" t="s">
        <v>244</v>
      </c>
      <c r="C261" s="219">
        <f t="shared" si="31"/>
        <v>-19368</v>
      </c>
      <c r="D261" s="219">
        <f t="shared" si="32"/>
        <v>-56551</v>
      </c>
      <c r="E261" s="219">
        <f t="shared" si="33"/>
        <v>-47279</v>
      </c>
      <c r="F261" s="219">
        <f t="shared" si="34"/>
        <v>-13334</v>
      </c>
      <c r="G261" s="219">
        <f t="shared" si="35"/>
        <v>11147</v>
      </c>
      <c r="I261" s="49"/>
      <c r="K261" s="220">
        <f>ROUND(VLOOKUP($A261,'Contribution Allocation_Report'!$A$9:$D$314,4,FALSE)*$K$326,0)</f>
        <v>-89600</v>
      </c>
      <c r="L261" s="220">
        <f>ROUND(VLOOKUP($A261,'Contribution Allocation_Report'!$A$9:$D$314,4,FALSE)*$L$326,0)</f>
        <v>-122886</v>
      </c>
      <c r="M261" s="220">
        <f>ROUND(VLOOKUP($A261,'Contribution Allocation_Report'!$A$9:$D$314,4,FALSE)*$M$326,0)</f>
        <v>-80347</v>
      </c>
      <c r="N261" s="220">
        <f>ROUND(VLOOKUP($A261,'Contribution Allocation_Report'!$A$9:$D$314,4,FALSE)*$N$326,0)</f>
        <v>-20552</v>
      </c>
      <c r="O261" s="220">
        <f>ROUND(VLOOKUP($A261,'Contribution Allocation_Report'!$A$9:$D$314,4,FALSE)*$O$326,0)</f>
        <v>8847</v>
      </c>
      <c r="Q261" s="220">
        <f>+VLOOKUP(A261,'Change in Proportion Layers'!$AL$8:$AQ$322,2,FALSE)+K261</f>
        <v>-19368</v>
      </c>
      <c r="R261" s="220">
        <f>+VLOOKUP(A261,'Change in Proportion Layers'!$AL$8:$AQ$322,3,FALSE)+L261</f>
        <v>-56551</v>
      </c>
      <c r="S261" s="220">
        <f>+VLOOKUP(A261,'Change in Proportion Layers'!$AL$8:$AQ$322,4,FALSE)+M261</f>
        <v>-47279</v>
      </c>
      <c r="T261" s="220">
        <f>+VLOOKUP(A261,'Change in Proportion Layers'!$AL$8:$AQ$322,5,FALSE)+N261</f>
        <v>-13334</v>
      </c>
      <c r="U261" s="220">
        <f>+VLOOKUP(A261,'Change in Proportion Layers'!$AL$8:$AQ$322,6,FALSE)+O261+1</f>
        <v>11147</v>
      </c>
      <c r="W261" s="220">
        <f>('OPEB Amounts_Report'!H261-'OPEB Amounts_Report'!M261)</f>
        <v>-125385</v>
      </c>
      <c r="X261" s="245">
        <f t="shared" si="36"/>
        <v>0</v>
      </c>
    </row>
    <row r="262" spans="1:24" s="8" customFormat="1">
      <c r="A262" s="211">
        <v>3320</v>
      </c>
      <c r="B262" s="212" t="s">
        <v>245</v>
      </c>
      <c r="C262" s="46">
        <f t="shared" si="31"/>
        <v>-682131</v>
      </c>
      <c r="D262" s="46">
        <f t="shared" si="32"/>
        <v>-738587</v>
      </c>
      <c r="E262" s="46">
        <f t="shared" si="33"/>
        <v>-534977</v>
      </c>
      <c r="F262" s="46">
        <f t="shared" si="34"/>
        <v>-79397</v>
      </c>
      <c r="G262" s="46">
        <f t="shared" si="35"/>
        <v>176475</v>
      </c>
      <c r="I262" s="49"/>
      <c r="K262" s="220">
        <f>ROUND(VLOOKUP($A262,'Contribution Allocation_Report'!$A$9:$D$314,4,FALSE)*$K$326,0)</f>
        <v>-555012</v>
      </c>
      <c r="L262" s="220">
        <f>ROUND(VLOOKUP($A262,'Contribution Allocation_Report'!$A$9:$D$314,4,FALSE)*$L$326,0)</f>
        <v>-761197</v>
      </c>
      <c r="M262" s="220">
        <f>ROUND(VLOOKUP($A262,'Contribution Allocation_Report'!$A$9:$D$314,4,FALSE)*$M$326,0)</f>
        <v>-497695</v>
      </c>
      <c r="N262" s="220">
        <f>ROUND(VLOOKUP($A262,'Contribution Allocation_Report'!$A$9:$D$314,4,FALSE)*$N$326,0)</f>
        <v>-127303</v>
      </c>
      <c r="O262" s="220">
        <f>ROUND(VLOOKUP($A262,'Contribution Allocation_Report'!$A$9:$D$314,4,FALSE)*$O$326,0)</f>
        <v>54800</v>
      </c>
      <c r="Q262" s="220">
        <f>+VLOOKUP(A262,'Change in Proportion Layers'!$AL$8:$AQ$322,2,FALSE)+K262</f>
        <v>-682131</v>
      </c>
      <c r="R262" s="220">
        <f>+VLOOKUP(A262,'Change in Proportion Layers'!$AL$8:$AQ$322,3,FALSE)+L262</f>
        <v>-738587</v>
      </c>
      <c r="S262" s="220">
        <f>+VLOOKUP(A262,'Change in Proportion Layers'!$AL$8:$AQ$322,4,FALSE)+M262</f>
        <v>-534977</v>
      </c>
      <c r="T262" s="220">
        <f>+VLOOKUP(A262,'Change in Proportion Layers'!$AL$8:$AQ$322,5,FALSE)+N262</f>
        <v>-79397</v>
      </c>
      <c r="U262" s="220">
        <f>+VLOOKUP(A262,'Change in Proportion Layers'!$AL$8:$AQ$322,6,FALSE)+O262-1</f>
        <v>176475</v>
      </c>
      <c r="W262" s="220">
        <f>('OPEB Amounts_Report'!H262-'OPEB Amounts_Report'!M262)</f>
        <v>-1858617</v>
      </c>
      <c r="X262" s="245">
        <f t="shared" si="36"/>
        <v>0</v>
      </c>
    </row>
    <row r="263" spans="1:24" s="8" customFormat="1">
      <c r="A263" s="209">
        <v>20415</v>
      </c>
      <c r="B263" s="210" t="s">
        <v>246</v>
      </c>
      <c r="C263" s="219">
        <f t="shared" si="31"/>
        <v>-42921</v>
      </c>
      <c r="D263" s="219">
        <f t="shared" si="32"/>
        <v>-47220</v>
      </c>
      <c r="E263" s="219">
        <f t="shared" si="33"/>
        <v>-25503</v>
      </c>
      <c r="F263" s="219">
        <f t="shared" si="34"/>
        <v>-11401</v>
      </c>
      <c r="G263" s="219">
        <f t="shared" si="35"/>
        <v>583</v>
      </c>
      <c r="I263" s="49"/>
      <c r="K263" s="220">
        <f>ROUND(VLOOKUP($A263,'Contribution Allocation_Report'!$A$9:$D$314,4,FALSE)*$K$326,0)</f>
        <v>-65831</v>
      </c>
      <c r="L263" s="220">
        <f>ROUND(VLOOKUP($A263,'Contribution Allocation_Report'!$A$9:$D$314,4,FALSE)*$L$326,0)</f>
        <v>-90287</v>
      </c>
      <c r="M263" s="220">
        <f>ROUND(VLOOKUP($A263,'Contribution Allocation_Report'!$A$9:$D$314,4,FALSE)*$M$326,0)</f>
        <v>-59033</v>
      </c>
      <c r="N263" s="220">
        <f>ROUND(VLOOKUP($A263,'Contribution Allocation_Report'!$A$9:$D$314,4,FALSE)*$N$326,0)</f>
        <v>-15100</v>
      </c>
      <c r="O263" s="220">
        <f>ROUND(VLOOKUP($A263,'Contribution Allocation_Report'!$A$9:$D$314,4,FALSE)*$O$326,0)</f>
        <v>6500</v>
      </c>
      <c r="Q263" s="220">
        <f>+VLOOKUP(A263,'Change in Proportion Layers'!$AL$8:$AQ$322,2,FALSE)+K263</f>
        <v>-42921</v>
      </c>
      <c r="R263" s="220">
        <f>+VLOOKUP(A263,'Change in Proportion Layers'!$AL$8:$AQ$322,3,FALSE)+L263</f>
        <v>-47220</v>
      </c>
      <c r="S263" s="220">
        <f>+VLOOKUP(A263,'Change in Proportion Layers'!$AL$8:$AQ$322,4,FALSE)+M263</f>
        <v>-25503</v>
      </c>
      <c r="T263" s="220">
        <f>+VLOOKUP(A263,'Change in Proportion Layers'!$AL$8:$AQ$322,5,FALSE)+N263</f>
        <v>-11401</v>
      </c>
      <c r="U263" s="220">
        <f>+VLOOKUP(A263,'Change in Proportion Layers'!$AL$8:$AQ$322,6,FALSE)+O263</f>
        <v>583</v>
      </c>
      <c r="W263" s="220">
        <f>('OPEB Amounts_Report'!H263-'OPEB Amounts_Report'!M263)</f>
        <v>-126462</v>
      </c>
      <c r="X263" s="245">
        <f t="shared" si="36"/>
        <v>0</v>
      </c>
    </row>
    <row r="264" spans="1:24" s="8" customFormat="1">
      <c r="A264" s="211">
        <v>20435</v>
      </c>
      <c r="B264" s="212" t="s">
        <v>418</v>
      </c>
      <c r="C264" s="46">
        <f t="shared" si="31"/>
        <v>-18982</v>
      </c>
      <c r="D264" s="46">
        <f t="shared" si="32"/>
        <v>-64990</v>
      </c>
      <c r="E264" s="46">
        <f t="shared" si="33"/>
        <v>-35793</v>
      </c>
      <c r="F264" s="46">
        <f t="shared" si="34"/>
        <v>-28838</v>
      </c>
      <c r="G264" s="46">
        <f t="shared" si="35"/>
        <v>-21792</v>
      </c>
      <c r="I264" s="49"/>
      <c r="K264" s="220">
        <f>ROUND(VLOOKUP($A264,'Contribution Allocation_Report'!$A$9:$D$314,4,FALSE)*$K$326,0)</f>
        <v>-73951</v>
      </c>
      <c r="L264" s="220">
        <f>ROUND(VLOOKUP($A264,'Contribution Allocation_Report'!$A$9:$D$314,4,FALSE)*$L$326,0)</f>
        <v>-101423</v>
      </c>
      <c r="M264" s="220">
        <f>ROUND(VLOOKUP($A264,'Contribution Allocation_Report'!$A$9:$D$314,4,FALSE)*$M$326,0)</f>
        <v>-66314</v>
      </c>
      <c r="N264" s="220">
        <f>ROUND(VLOOKUP($A264,'Contribution Allocation_Report'!$A$9:$D$314,4,FALSE)*$N$326,0)</f>
        <v>-16962</v>
      </c>
      <c r="O264" s="220">
        <f>ROUND(VLOOKUP($A264,'Contribution Allocation_Report'!$A$9:$D$314,4,FALSE)*$O$326,0)</f>
        <v>7302</v>
      </c>
      <c r="Q264" s="220">
        <f>+VLOOKUP(A264,'Change in Proportion Layers'!$AL$8:$AQ$322,2,FALSE)+K264</f>
        <v>-18982</v>
      </c>
      <c r="R264" s="220">
        <f>+VLOOKUP(A264,'Change in Proportion Layers'!$AL$8:$AQ$322,3,FALSE)+L264</f>
        <v>-64990</v>
      </c>
      <c r="S264" s="220">
        <f>+VLOOKUP(A264,'Change in Proportion Layers'!$AL$8:$AQ$322,4,FALSE)+M264</f>
        <v>-35793</v>
      </c>
      <c r="T264" s="220">
        <f>+VLOOKUP(A264,'Change in Proportion Layers'!$AL$8:$AQ$322,5,FALSE)+N264</f>
        <v>-28838</v>
      </c>
      <c r="U264" s="220">
        <f>+VLOOKUP(A264,'Change in Proportion Layers'!$AL$8:$AQ$322,6,FALSE)+O264</f>
        <v>-21792</v>
      </c>
      <c r="W264" s="220">
        <f>('OPEB Amounts_Report'!H264-'OPEB Amounts_Report'!M264)</f>
        <v>-170395</v>
      </c>
      <c r="X264" s="245">
        <f t="shared" si="36"/>
        <v>0</v>
      </c>
    </row>
    <row r="265" spans="1:24" s="8" customFormat="1">
      <c r="A265" s="209">
        <v>20062</v>
      </c>
      <c r="B265" s="210" t="s">
        <v>247</v>
      </c>
      <c r="C265" s="219">
        <f t="shared" si="31"/>
        <v>-945963</v>
      </c>
      <c r="D265" s="219">
        <f t="shared" si="32"/>
        <v>-1225592</v>
      </c>
      <c r="E265" s="219">
        <f t="shared" si="33"/>
        <v>-960839</v>
      </c>
      <c r="F265" s="219">
        <f t="shared" si="34"/>
        <v>-341472</v>
      </c>
      <c r="G265" s="219">
        <f t="shared" si="35"/>
        <v>-78027</v>
      </c>
      <c r="I265" s="49"/>
      <c r="K265" s="220">
        <f>ROUND(VLOOKUP($A265,'Contribution Allocation_Report'!$A$9:$D$314,4,FALSE)*$K$326,0)</f>
        <v>-733212</v>
      </c>
      <c r="L265" s="220">
        <f>ROUND(VLOOKUP($A265,'Contribution Allocation_Report'!$A$9:$D$314,4,FALSE)*$L$326,0)</f>
        <v>-1005598</v>
      </c>
      <c r="M265" s="220">
        <f>ROUND(VLOOKUP($A265,'Contribution Allocation_Report'!$A$9:$D$314,4,FALSE)*$M$326,0)</f>
        <v>-657492</v>
      </c>
      <c r="N265" s="220">
        <f>ROUND(VLOOKUP($A265,'Contribution Allocation_Report'!$A$9:$D$314,4,FALSE)*$N$326,0)</f>
        <v>-168177</v>
      </c>
      <c r="O265" s="220">
        <f>ROUND(VLOOKUP($A265,'Contribution Allocation_Report'!$A$9:$D$314,4,FALSE)*$O$326,0)</f>
        <v>72395</v>
      </c>
      <c r="Q265" s="220">
        <f>+VLOOKUP(A265,'Change in Proportion Layers'!$AL$8:$AQ$322,2,FALSE)+K265</f>
        <v>-945963</v>
      </c>
      <c r="R265" s="220">
        <f>+VLOOKUP(A265,'Change in Proportion Layers'!$AL$8:$AQ$322,3,FALSE)+L265</f>
        <v>-1225592</v>
      </c>
      <c r="S265" s="220">
        <f>+VLOOKUP(A265,'Change in Proportion Layers'!$AL$8:$AQ$322,4,FALSE)+M265</f>
        <v>-960839</v>
      </c>
      <c r="T265" s="220">
        <f>+VLOOKUP(A265,'Change in Proportion Layers'!$AL$8:$AQ$322,5,FALSE)+N265</f>
        <v>-341472</v>
      </c>
      <c r="U265" s="220">
        <f>+VLOOKUP(A265,'Change in Proportion Layers'!$AL$8:$AQ$322,6,FALSE)+O265+1</f>
        <v>-78027</v>
      </c>
      <c r="W265" s="220">
        <f>('OPEB Amounts_Report'!H265-'OPEB Amounts_Report'!M265)</f>
        <v>-3551893</v>
      </c>
      <c r="X265" s="245">
        <f t="shared" si="36"/>
        <v>0</v>
      </c>
    </row>
    <row r="266" spans="1:24" s="192" customFormat="1">
      <c r="A266" s="211">
        <v>3410</v>
      </c>
      <c r="B266" s="212" t="s">
        <v>486</v>
      </c>
      <c r="C266" s="46">
        <f t="shared" ref="C266" si="53">+Q266</f>
        <v>9181</v>
      </c>
      <c r="D266" s="46">
        <f t="shared" ref="D266" si="54">+R266</f>
        <v>5581</v>
      </c>
      <c r="E266" s="46">
        <f t="shared" ref="E266" si="55">+S266</f>
        <v>10182</v>
      </c>
      <c r="F266" s="46">
        <f t="shared" ref="F266" si="56">+T266</f>
        <v>16650</v>
      </c>
      <c r="G266" s="46">
        <f t="shared" ref="G266" si="57">+U266</f>
        <v>18507</v>
      </c>
      <c r="I266" s="221"/>
      <c r="K266" s="220">
        <f>ROUND(VLOOKUP($A266,'Contribution Allocation_Report'!$A$9:$D$314,4,FALSE)*$K$326,0)</f>
        <v>-9692</v>
      </c>
      <c r="L266" s="220">
        <f>ROUND(VLOOKUP($A266,'Contribution Allocation_Report'!$A$9:$D$314,4,FALSE)*$L$326,0)</f>
        <v>-13292</v>
      </c>
      <c r="M266" s="220">
        <f>ROUND(VLOOKUP($A266,'Contribution Allocation_Report'!$A$9:$D$314,4,FALSE)*$M$326,0)</f>
        <v>-8691</v>
      </c>
      <c r="N266" s="220">
        <f>ROUND(VLOOKUP($A266,'Contribution Allocation_Report'!$A$9:$D$314,4,FALSE)*$N$326,0)</f>
        <v>-2223</v>
      </c>
      <c r="O266" s="220">
        <f>ROUND(VLOOKUP($A266,'Contribution Allocation_Report'!$A$9:$D$314,4,FALSE)*$O$326,0)</f>
        <v>957</v>
      </c>
      <c r="Q266" s="220">
        <f>+VLOOKUP(A266,'Change in Proportion Layers'!$AL$8:$AQ$322,2,FALSE)+K266</f>
        <v>9181</v>
      </c>
      <c r="R266" s="220">
        <f>+VLOOKUP(A266,'Change in Proportion Layers'!$AL$8:$AQ$322,3,FALSE)+L266</f>
        <v>5581</v>
      </c>
      <c r="S266" s="220">
        <f>+VLOOKUP(A266,'Change in Proportion Layers'!$AL$8:$AQ$322,4,FALSE)+M266</f>
        <v>10182</v>
      </c>
      <c r="T266" s="220">
        <f>+VLOOKUP(A266,'Change in Proportion Layers'!$AL$8:$AQ$322,5,FALSE)+N266</f>
        <v>16650</v>
      </c>
      <c r="U266" s="220">
        <f>+VLOOKUP(A266,'Change in Proportion Layers'!$AL$8:$AQ$322,6,FALSE)+O266+1</f>
        <v>18507</v>
      </c>
      <c r="W266" s="220">
        <f>('OPEB Amounts_Report'!H266-'OPEB Amounts_Report'!M266)</f>
        <v>60101</v>
      </c>
      <c r="X266" s="245">
        <f t="shared" ref="X266" si="58">SUM(Q266:U266)-W266</f>
        <v>0</v>
      </c>
    </row>
    <row r="267" spans="1:24" s="8" customFormat="1">
      <c r="A267" s="209">
        <v>6020</v>
      </c>
      <c r="B267" s="210" t="s">
        <v>248</v>
      </c>
      <c r="C267" s="219">
        <f t="shared" si="31"/>
        <v>-163599</v>
      </c>
      <c r="D267" s="219">
        <f t="shared" si="32"/>
        <v>-218103</v>
      </c>
      <c r="E267" s="219">
        <f t="shared" si="33"/>
        <v>-160961</v>
      </c>
      <c r="F267" s="219">
        <f t="shared" si="34"/>
        <v>-44707</v>
      </c>
      <c r="G267" s="219">
        <f t="shared" si="35"/>
        <v>-18</v>
      </c>
      <c r="I267" s="49"/>
      <c r="K267" s="220">
        <f>ROUND(VLOOKUP($A267,'Contribution Allocation_Report'!$A$9:$D$314,4,FALSE)*$K$326,0)</f>
        <v>-155223</v>
      </c>
      <c r="L267" s="220">
        <f>ROUND(VLOOKUP($A267,'Contribution Allocation_Report'!$A$9:$D$314,4,FALSE)*$L$326,0)</f>
        <v>-212888</v>
      </c>
      <c r="M267" s="220">
        <f>ROUND(VLOOKUP($A267,'Contribution Allocation_Report'!$A$9:$D$314,4,FALSE)*$M$326,0)</f>
        <v>-139193</v>
      </c>
      <c r="N267" s="220">
        <f>ROUND(VLOOKUP($A267,'Contribution Allocation_Report'!$A$9:$D$314,4,FALSE)*$N$326,0)</f>
        <v>-35604</v>
      </c>
      <c r="O267" s="220">
        <f>ROUND(VLOOKUP($A267,'Contribution Allocation_Report'!$A$9:$D$314,4,FALSE)*$O$326,0)</f>
        <v>15326</v>
      </c>
      <c r="Q267" s="220">
        <f>+VLOOKUP(A267,'Change in Proportion Layers'!$AL$8:$AQ$322,2,FALSE)+K267</f>
        <v>-163599</v>
      </c>
      <c r="R267" s="220">
        <f>+VLOOKUP(A267,'Change in Proportion Layers'!$AL$8:$AQ$322,3,FALSE)+L267</f>
        <v>-218103</v>
      </c>
      <c r="S267" s="220">
        <f>+VLOOKUP(A267,'Change in Proportion Layers'!$AL$8:$AQ$322,4,FALSE)+M267</f>
        <v>-160961</v>
      </c>
      <c r="T267" s="220">
        <f>+VLOOKUP(A267,'Change in Proportion Layers'!$AL$8:$AQ$322,5,FALSE)+N267</f>
        <v>-44707</v>
      </c>
      <c r="U267" s="220">
        <f>+VLOOKUP(A267,'Change in Proportion Layers'!$AL$8:$AQ$322,6,FALSE)+O267+2</f>
        <v>-18</v>
      </c>
      <c r="W267" s="220">
        <f>('OPEB Amounts_Report'!H267-'OPEB Amounts_Report'!M267)</f>
        <v>-587388</v>
      </c>
      <c r="X267" s="245">
        <f t="shared" si="36"/>
        <v>0</v>
      </c>
    </row>
    <row r="268" spans="1:24" s="8" customFormat="1">
      <c r="A268" s="211">
        <v>2394</v>
      </c>
      <c r="B268" s="212" t="s">
        <v>249</v>
      </c>
      <c r="C268" s="46">
        <f t="shared" si="31"/>
        <v>-59761</v>
      </c>
      <c r="D268" s="46">
        <f t="shared" si="32"/>
        <v>-100040</v>
      </c>
      <c r="E268" s="46">
        <f t="shared" si="33"/>
        <v>-64773</v>
      </c>
      <c r="F268" s="46">
        <f t="shared" si="34"/>
        <v>-19853</v>
      </c>
      <c r="G268" s="46">
        <f t="shared" si="35"/>
        <v>17213</v>
      </c>
      <c r="I268" s="49"/>
      <c r="K268" s="220">
        <f>ROUND(VLOOKUP($A268,'Contribution Allocation_Report'!$A$9:$D$314,4,FALSE)*$K$326,0)</f>
        <v>-96871</v>
      </c>
      <c r="L268" s="220">
        <f>ROUND(VLOOKUP($A268,'Contribution Allocation_Report'!$A$9:$D$314,4,FALSE)*$L$326,0)</f>
        <v>-132858</v>
      </c>
      <c r="M268" s="220">
        <f>ROUND(VLOOKUP($A268,'Contribution Allocation_Report'!$A$9:$D$314,4,FALSE)*$M$326,0)</f>
        <v>-86867</v>
      </c>
      <c r="N268" s="220">
        <f>ROUND(VLOOKUP($A268,'Contribution Allocation_Report'!$A$9:$D$314,4,FALSE)*$N$326,0)</f>
        <v>-22219</v>
      </c>
      <c r="O268" s="220">
        <f>ROUND(VLOOKUP($A268,'Contribution Allocation_Report'!$A$9:$D$314,4,FALSE)*$O$326,0)</f>
        <v>9565</v>
      </c>
      <c r="Q268" s="220">
        <f>+VLOOKUP(A268,'Change in Proportion Layers'!$AL$8:$AQ$322,2,FALSE)+K268</f>
        <v>-59761</v>
      </c>
      <c r="R268" s="220">
        <f>+VLOOKUP(A268,'Change in Proportion Layers'!$AL$8:$AQ$322,3,FALSE)+L268</f>
        <v>-100040</v>
      </c>
      <c r="S268" s="220">
        <f>+VLOOKUP(A268,'Change in Proportion Layers'!$AL$8:$AQ$322,4,FALSE)+M268</f>
        <v>-64773</v>
      </c>
      <c r="T268" s="220">
        <f>+VLOOKUP(A268,'Change in Proportion Layers'!$AL$8:$AQ$322,5,FALSE)+N268</f>
        <v>-19853</v>
      </c>
      <c r="U268" s="220">
        <f>+VLOOKUP(A268,'Change in Proportion Layers'!$AL$8:$AQ$322,6,FALSE)+O268</f>
        <v>17213</v>
      </c>
      <c r="W268" s="220">
        <f>('OPEB Amounts_Report'!H268-'OPEB Amounts_Report'!M268)</f>
        <v>-227214</v>
      </c>
      <c r="X268" s="245">
        <f t="shared" si="36"/>
        <v>0</v>
      </c>
    </row>
    <row r="269" spans="1:24" s="8" customFormat="1">
      <c r="A269" s="209">
        <v>5015</v>
      </c>
      <c r="B269" s="210" t="s">
        <v>250</v>
      </c>
      <c r="C269" s="219">
        <f t="shared" si="31"/>
        <v>-230522</v>
      </c>
      <c r="D269" s="219">
        <f t="shared" si="32"/>
        <v>-322136</v>
      </c>
      <c r="E269" s="219">
        <f t="shared" si="33"/>
        <v>-241193</v>
      </c>
      <c r="F269" s="219">
        <f t="shared" si="34"/>
        <v>-83876</v>
      </c>
      <c r="G269" s="219">
        <f t="shared" si="35"/>
        <v>10040</v>
      </c>
      <c r="I269" s="49"/>
      <c r="K269" s="220">
        <f>ROUND(VLOOKUP($A269,'Contribution Allocation_Report'!$A$9:$D$314,4,FALSE)*$K$326,0)</f>
        <v>-213693</v>
      </c>
      <c r="L269" s="220">
        <f>ROUND(VLOOKUP($A269,'Contribution Allocation_Report'!$A$9:$D$314,4,FALSE)*$L$326,0)</f>
        <v>-293080</v>
      </c>
      <c r="M269" s="220">
        <f>ROUND(VLOOKUP($A269,'Contribution Allocation_Report'!$A$9:$D$314,4,FALSE)*$M$326,0)</f>
        <v>-191625</v>
      </c>
      <c r="N269" s="220">
        <f>ROUND(VLOOKUP($A269,'Contribution Allocation_Report'!$A$9:$D$314,4,FALSE)*$N$326,0)</f>
        <v>-49015</v>
      </c>
      <c r="O269" s="220">
        <f>ROUND(VLOOKUP($A269,'Contribution Allocation_Report'!$A$9:$D$314,4,FALSE)*$O$326,0)</f>
        <v>21099</v>
      </c>
      <c r="Q269" s="220">
        <f>+VLOOKUP(A269,'Change in Proportion Layers'!$AL$8:$AQ$322,2,FALSE)+K269</f>
        <v>-230522</v>
      </c>
      <c r="R269" s="220">
        <f>+VLOOKUP(A269,'Change in Proportion Layers'!$AL$8:$AQ$322,3,FALSE)+L269</f>
        <v>-322136</v>
      </c>
      <c r="S269" s="220">
        <f>+VLOOKUP(A269,'Change in Proportion Layers'!$AL$8:$AQ$322,4,FALSE)+M269</f>
        <v>-241193</v>
      </c>
      <c r="T269" s="220">
        <f>+VLOOKUP(A269,'Change in Proportion Layers'!$AL$8:$AQ$322,5,FALSE)+N269</f>
        <v>-83876</v>
      </c>
      <c r="U269" s="220">
        <f>+VLOOKUP(A269,'Change in Proportion Layers'!$AL$8:$AQ$322,6,FALSE)+O269+2</f>
        <v>10040</v>
      </c>
      <c r="W269" s="220">
        <f>('OPEB Amounts_Report'!H269-'OPEB Amounts_Report'!M269)</f>
        <v>-867687</v>
      </c>
      <c r="X269" s="245">
        <f t="shared" si="36"/>
        <v>0</v>
      </c>
    </row>
    <row r="270" spans="1:24" s="8" customFormat="1">
      <c r="A270" s="211">
        <v>29408</v>
      </c>
      <c r="B270" s="212" t="s">
        <v>251</v>
      </c>
      <c r="C270" s="46">
        <f t="shared" si="31"/>
        <v>-93248</v>
      </c>
      <c r="D270" s="46">
        <f t="shared" si="32"/>
        <v>-177897</v>
      </c>
      <c r="E270" s="46">
        <f t="shared" si="33"/>
        <v>-139571</v>
      </c>
      <c r="F270" s="46">
        <f t="shared" si="34"/>
        <v>-17750</v>
      </c>
      <c r="G270" s="46">
        <f t="shared" si="35"/>
        <v>22000</v>
      </c>
      <c r="I270" s="49"/>
      <c r="K270" s="220">
        <f>ROUND(VLOOKUP($A270,'Contribution Allocation_Report'!$A$9:$D$314,4,FALSE)*$K$326,0)</f>
        <v>-159100</v>
      </c>
      <c r="L270" s="220">
        <f>ROUND(VLOOKUP($A270,'Contribution Allocation_Report'!$A$9:$D$314,4,FALSE)*$L$326,0)</f>
        <v>-218205</v>
      </c>
      <c r="M270" s="220">
        <f>ROUND(VLOOKUP($A270,'Contribution Allocation_Report'!$A$9:$D$314,4,FALSE)*$M$326,0)</f>
        <v>-142669</v>
      </c>
      <c r="N270" s="220">
        <f>ROUND(VLOOKUP($A270,'Contribution Allocation_Report'!$A$9:$D$314,4,FALSE)*$N$326,0)</f>
        <v>-36493</v>
      </c>
      <c r="O270" s="220">
        <f>ROUND(VLOOKUP($A270,'Contribution Allocation_Report'!$A$9:$D$314,4,FALSE)*$O$326,0)</f>
        <v>15709</v>
      </c>
      <c r="Q270" s="220">
        <f>+VLOOKUP(A270,'Change in Proportion Layers'!$AL$8:$AQ$322,2,FALSE)+K270</f>
        <v>-93248</v>
      </c>
      <c r="R270" s="220">
        <f>+VLOOKUP(A270,'Change in Proportion Layers'!$AL$8:$AQ$322,3,FALSE)+L270</f>
        <v>-177897</v>
      </c>
      <c r="S270" s="220">
        <f>+VLOOKUP(A270,'Change in Proportion Layers'!$AL$8:$AQ$322,4,FALSE)+M270</f>
        <v>-139571</v>
      </c>
      <c r="T270" s="220">
        <f>+VLOOKUP(A270,'Change in Proportion Layers'!$AL$8:$AQ$322,5,FALSE)+N270</f>
        <v>-17750</v>
      </c>
      <c r="U270" s="220">
        <f>+VLOOKUP(A270,'Change in Proportion Layers'!$AL$8:$AQ$322,6,FALSE)+O270</f>
        <v>22000</v>
      </c>
      <c r="W270" s="220">
        <f>('OPEB Amounts_Report'!H270-'OPEB Amounts_Report'!M270)</f>
        <v>-406466</v>
      </c>
      <c r="X270" s="245">
        <f t="shared" si="36"/>
        <v>0</v>
      </c>
    </row>
    <row r="271" spans="1:24" s="8" customFormat="1">
      <c r="A271" s="209">
        <v>2413</v>
      </c>
      <c r="B271" s="210" t="s">
        <v>252</v>
      </c>
      <c r="C271" s="219">
        <f t="shared" si="31"/>
        <v>-80388</v>
      </c>
      <c r="D271" s="219">
        <f t="shared" si="32"/>
        <v>-89864</v>
      </c>
      <c r="E271" s="219">
        <f t="shared" si="33"/>
        <v>-49438</v>
      </c>
      <c r="F271" s="219">
        <f t="shared" si="34"/>
        <v>-14096</v>
      </c>
      <c r="G271" s="219">
        <f t="shared" si="35"/>
        <v>-19462</v>
      </c>
      <c r="I271" s="49"/>
      <c r="K271" s="220">
        <f>ROUND(VLOOKUP($A271,'Contribution Allocation_Report'!$A$9:$D$314,4,FALSE)*$K$326,0)</f>
        <v>-28229</v>
      </c>
      <c r="L271" s="220">
        <f>ROUND(VLOOKUP($A271,'Contribution Allocation_Report'!$A$9:$D$314,4,FALSE)*$L$326,0)</f>
        <v>-38716</v>
      </c>
      <c r="M271" s="220">
        <f>ROUND(VLOOKUP($A271,'Contribution Allocation_Report'!$A$9:$D$314,4,FALSE)*$M$326,0)</f>
        <v>-25313</v>
      </c>
      <c r="N271" s="220">
        <f>ROUND(VLOOKUP($A271,'Contribution Allocation_Report'!$A$9:$D$314,4,FALSE)*$N$326,0)</f>
        <v>-6475</v>
      </c>
      <c r="O271" s="220">
        <f>ROUND(VLOOKUP($A271,'Contribution Allocation_Report'!$A$9:$D$314,4,FALSE)*$O$326,0)</f>
        <v>2787</v>
      </c>
      <c r="Q271" s="220">
        <f>+VLOOKUP(A271,'Change in Proportion Layers'!$AL$8:$AQ$322,2,FALSE)+K271</f>
        <v>-80388</v>
      </c>
      <c r="R271" s="220">
        <f>+VLOOKUP(A271,'Change in Proportion Layers'!$AL$8:$AQ$322,3,FALSE)+L271</f>
        <v>-89864</v>
      </c>
      <c r="S271" s="220">
        <f>+VLOOKUP(A271,'Change in Proportion Layers'!$AL$8:$AQ$322,4,FALSE)+M271</f>
        <v>-49438</v>
      </c>
      <c r="T271" s="220">
        <f>+VLOOKUP(A271,'Change in Proportion Layers'!$AL$8:$AQ$322,5,FALSE)+N271</f>
        <v>-14096</v>
      </c>
      <c r="U271" s="220">
        <f>+VLOOKUP(A271,'Change in Proportion Layers'!$AL$8:$AQ$322,6,FALSE)+O271+1</f>
        <v>-19462</v>
      </c>
      <c r="W271" s="220">
        <f>('OPEB Amounts_Report'!H271-'OPEB Amounts_Report'!M271)</f>
        <v>-253248</v>
      </c>
      <c r="X271" s="245">
        <f t="shared" si="36"/>
        <v>0</v>
      </c>
    </row>
    <row r="272" spans="1:24" s="8" customFormat="1">
      <c r="A272" s="211">
        <v>1398</v>
      </c>
      <c r="B272" s="212" t="s">
        <v>253</v>
      </c>
      <c r="C272" s="46">
        <f t="shared" ref="C272:C301" si="59">+Q272</f>
        <v>-42229</v>
      </c>
      <c r="D272" s="46">
        <f t="shared" ref="D272:D301" si="60">+R272</f>
        <v>-95213</v>
      </c>
      <c r="E272" s="46">
        <f t="shared" ref="E272:E301" si="61">+S272</f>
        <v>-39562</v>
      </c>
      <c r="F272" s="46">
        <f t="shared" ref="F272:F301" si="62">+T272</f>
        <v>48446</v>
      </c>
      <c r="G272" s="46">
        <f t="shared" ref="G272:G301" si="63">+U272</f>
        <v>42177</v>
      </c>
      <c r="I272" s="49"/>
      <c r="K272" s="220">
        <f>ROUND(VLOOKUP($A272,'Contribution Allocation_Report'!$A$9:$D$314,4,FALSE)*$K$326,0)</f>
        <v>-96084</v>
      </c>
      <c r="L272" s="220">
        <f>ROUND(VLOOKUP($A272,'Contribution Allocation_Report'!$A$9:$D$314,4,FALSE)*$L$326,0)</f>
        <v>-131779</v>
      </c>
      <c r="M272" s="220">
        <f>ROUND(VLOOKUP($A272,'Contribution Allocation_Report'!$A$9:$D$314,4,FALSE)*$M$326,0)</f>
        <v>-86161</v>
      </c>
      <c r="N272" s="220">
        <f>ROUND(VLOOKUP($A272,'Contribution Allocation_Report'!$A$9:$D$314,4,FALSE)*$N$326,0)</f>
        <v>-22039</v>
      </c>
      <c r="O272" s="220">
        <f>ROUND(VLOOKUP($A272,'Contribution Allocation_Report'!$A$9:$D$314,4,FALSE)*$O$326,0)</f>
        <v>9487</v>
      </c>
      <c r="Q272" s="220">
        <f>+VLOOKUP(A272,'Change in Proportion Layers'!$AL$8:$AQ$322,2,FALSE)+K272</f>
        <v>-42229</v>
      </c>
      <c r="R272" s="220">
        <f>+VLOOKUP(A272,'Change in Proportion Layers'!$AL$8:$AQ$322,3,FALSE)+L272</f>
        <v>-95213</v>
      </c>
      <c r="S272" s="220">
        <f>+VLOOKUP(A272,'Change in Proportion Layers'!$AL$8:$AQ$322,4,FALSE)+M272</f>
        <v>-39562</v>
      </c>
      <c r="T272" s="220">
        <f>+VLOOKUP(A272,'Change in Proportion Layers'!$AL$8:$AQ$322,5,FALSE)+N272</f>
        <v>48446</v>
      </c>
      <c r="U272" s="220">
        <f>+VLOOKUP(A272,'Change in Proportion Layers'!$AL$8:$AQ$322,6,FALSE)+O272</f>
        <v>42177</v>
      </c>
      <c r="W272" s="220">
        <f>('OPEB Amounts_Report'!H272-'OPEB Amounts_Report'!M272)</f>
        <v>-86381</v>
      </c>
      <c r="X272" s="245">
        <f t="shared" si="36"/>
        <v>0</v>
      </c>
    </row>
    <row r="273" spans="1:24" s="8" customFormat="1">
      <c r="A273" s="209">
        <v>2366</v>
      </c>
      <c r="B273" s="210" t="s">
        <v>254</v>
      </c>
      <c r="C273" s="219">
        <f t="shared" si="59"/>
        <v>-110007</v>
      </c>
      <c r="D273" s="219">
        <f t="shared" si="60"/>
        <v>-116978</v>
      </c>
      <c r="E273" s="219">
        <f t="shared" si="61"/>
        <v>-91934</v>
      </c>
      <c r="F273" s="219">
        <f t="shared" si="62"/>
        <v>-25024</v>
      </c>
      <c r="G273" s="219">
        <f t="shared" si="63"/>
        <v>-3507</v>
      </c>
      <c r="I273" s="49"/>
      <c r="K273" s="220">
        <f>ROUND(VLOOKUP($A273,'Contribution Allocation_Report'!$A$9:$D$314,4,FALSE)*$K$326,0)</f>
        <v>-59413</v>
      </c>
      <c r="L273" s="220">
        <f>ROUND(VLOOKUP($A273,'Contribution Allocation_Report'!$A$9:$D$314,4,FALSE)*$L$326,0)</f>
        <v>-81485</v>
      </c>
      <c r="M273" s="220">
        <f>ROUND(VLOOKUP($A273,'Contribution Allocation_Report'!$A$9:$D$314,4,FALSE)*$M$326,0)</f>
        <v>-53277</v>
      </c>
      <c r="N273" s="220">
        <f>ROUND(VLOOKUP($A273,'Contribution Allocation_Report'!$A$9:$D$314,4,FALSE)*$N$326,0)</f>
        <v>-13628</v>
      </c>
      <c r="O273" s="220">
        <f>ROUND(VLOOKUP($A273,'Contribution Allocation_Report'!$A$9:$D$314,4,FALSE)*$O$326,0)</f>
        <v>5866</v>
      </c>
      <c r="Q273" s="220">
        <f>+VLOOKUP(A273,'Change in Proportion Layers'!$AL$8:$AQ$322,2,FALSE)+K273</f>
        <v>-110007</v>
      </c>
      <c r="R273" s="220">
        <f>+VLOOKUP(A273,'Change in Proportion Layers'!$AL$8:$AQ$322,3,FALSE)+L273</f>
        <v>-116978</v>
      </c>
      <c r="S273" s="220">
        <f>+VLOOKUP(A273,'Change in Proportion Layers'!$AL$8:$AQ$322,4,FALSE)+M273</f>
        <v>-91934</v>
      </c>
      <c r="T273" s="220">
        <f>+VLOOKUP(A273,'Change in Proportion Layers'!$AL$8:$AQ$322,5,FALSE)+N273</f>
        <v>-25024</v>
      </c>
      <c r="U273" s="220">
        <f>+VLOOKUP(A273,'Change in Proportion Layers'!$AL$8:$AQ$322,6,FALSE)+O273-1</f>
        <v>-3507</v>
      </c>
      <c r="W273" s="220">
        <f>('OPEB Amounts_Report'!H273-'OPEB Amounts_Report'!M273)</f>
        <v>-347450</v>
      </c>
      <c r="X273" s="245">
        <f t="shared" si="36"/>
        <v>0</v>
      </c>
    </row>
    <row r="274" spans="1:24" s="8" customFormat="1">
      <c r="A274" s="211">
        <v>7421</v>
      </c>
      <c r="B274" s="212" t="s">
        <v>255</v>
      </c>
      <c r="C274" s="46">
        <f t="shared" si="59"/>
        <v>-110181</v>
      </c>
      <c r="D274" s="46">
        <f t="shared" si="60"/>
        <v>-80911</v>
      </c>
      <c r="E274" s="46">
        <f t="shared" si="61"/>
        <v>-60479</v>
      </c>
      <c r="F274" s="46">
        <f t="shared" si="62"/>
        <v>-36407</v>
      </c>
      <c r="G274" s="46">
        <f t="shared" si="63"/>
        <v>6380</v>
      </c>
      <c r="I274" s="49"/>
      <c r="K274" s="220">
        <f>ROUND(VLOOKUP($A274,'Contribution Allocation_Report'!$A$9:$D$314,4,FALSE)*$K$326,0)</f>
        <v>-53776</v>
      </c>
      <c r="L274" s="220">
        <f>ROUND(VLOOKUP($A274,'Contribution Allocation_Report'!$A$9:$D$314,4,FALSE)*$L$326,0)</f>
        <v>-73753</v>
      </c>
      <c r="M274" s="220">
        <f>ROUND(VLOOKUP($A274,'Contribution Allocation_Report'!$A$9:$D$314,4,FALSE)*$M$326,0)</f>
        <v>-48222</v>
      </c>
      <c r="N274" s="220">
        <f>ROUND(VLOOKUP($A274,'Contribution Allocation_Report'!$A$9:$D$314,4,FALSE)*$N$326,0)</f>
        <v>-12335</v>
      </c>
      <c r="O274" s="220">
        <f>ROUND(VLOOKUP($A274,'Contribution Allocation_Report'!$A$9:$D$314,4,FALSE)*$O$326,0)</f>
        <v>5310</v>
      </c>
      <c r="Q274" s="220">
        <f>+VLOOKUP(A274,'Change in Proportion Layers'!$AL$8:$AQ$322,2,FALSE)+K274</f>
        <v>-110181</v>
      </c>
      <c r="R274" s="220">
        <f>+VLOOKUP(A274,'Change in Proportion Layers'!$AL$8:$AQ$322,3,FALSE)+L274</f>
        <v>-80911</v>
      </c>
      <c r="S274" s="220">
        <f>+VLOOKUP(A274,'Change in Proportion Layers'!$AL$8:$AQ$322,4,FALSE)+M274</f>
        <v>-60479</v>
      </c>
      <c r="T274" s="220">
        <f>+VLOOKUP(A274,'Change in Proportion Layers'!$AL$8:$AQ$322,5,FALSE)+N274</f>
        <v>-36407</v>
      </c>
      <c r="U274" s="220">
        <f>+VLOOKUP(A274,'Change in Proportion Layers'!$AL$8:$AQ$322,6,FALSE)+O274-2</f>
        <v>6380</v>
      </c>
      <c r="W274" s="220">
        <f>('OPEB Amounts_Report'!H274-'OPEB Amounts_Report'!M274)</f>
        <v>-281598</v>
      </c>
      <c r="X274" s="245">
        <f t="shared" si="36"/>
        <v>0</v>
      </c>
    </row>
    <row r="275" spans="1:24" s="192" customFormat="1">
      <c r="A275" s="209">
        <v>1425</v>
      </c>
      <c r="B275" s="210" t="s">
        <v>450</v>
      </c>
      <c r="C275" s="219">
        <f t="shared" ref="C275" si="64">+Q275</f>
        <v>103689</v>
      </c>
      <c r="D275" s="219">
        <f t="shared" ref="D275" si="65">+R275</f>
        <v>70349</v>
      </c>
      <c r="E275" s="219">
        <f t="shared" ref="E275" si="66">+S275</f>
        <v>111974</v>
      </c>
      <c r="F275" s="219">
        <f t="shared" ref="F275" si="67">+T275</f>
        <v>150793</v>
      </c>
      <c r="G275" s="219">
        <f t="shared" ref="G275" si="68">+U275</f>
        <v>86475</v>
      </c>
      <c r="I275" s="221"/>
      <c r="K275" s="220">
        <f>ROUND(VLOOKUP($A275,'Contribution Allocation_Report'!$A$9:$D$314,4,FALSE)*$K$326,0)</f>
        <v>-89745</v>
      </c>
      <c r="L275" s="220">
        <f>ROUND(VLOOKUP($A275,'Contribution Allocation_Report'!$A$9:$D$314,4,FALSE)*$L$326,0)</f>
        <v>-123085</v>
      </c>
      <c r="M275" s="220">
        <f>ROUND(VLOOKUP($A275,'Contribution Allocation_Report'!$A$9:$D$314,4,FALSE)*$M$326,0)</f>
        <v>-80477</v>
      </c>
      <c r="N275" s="220">
        <f>ROUND(VLOOKUP($A275,'Contribution Allocation_Report'!$A$9:$D$314,4,FALSE)*$N$326,0)</f>
        <v>-20585</v>
      </c>
      <c r="O275" s="220">
        <f>ROUND(VLOOKUP($A275,'Contribution Allocation_Report'!$A$9:$D$314,4,FALSE)*$O$326,0)</f>
        <v>8861</v>
      </c>
      <c r="Q275" s="220">
        <f>+VLOOKUP(A275,'Change in Proportion Layers'!$AL$8:$AQ$322,2,FALSE)+K275</f>
        <v>103689</v>
      </c>
      <c r="R275" s="220">
        <f>+VLOOKUP(A275,'Change in Proportion Layers'!$AL$8:$AQ$322,3,FALSE)+L275</f>
        <v>70349</v>
      </c>
      <c r="S275" s="220">
        <f>+VLOOKUP(A275,'Change in Proportion Layers'!$AL$8:$AQ$322,4,FALSE)+M275</f>
        <v>111974</v>
      </c>
      <c r="T275" s="220">
        <f>+VLOOKUP(A275,'Change in Proportion Layers'!$AL$8:$AQ$322,5,FALSE)+N275</f>
        <v>150793</v>
      </c>
      <c r="U275" s="220">
        <f>+VLOOKUP(A275,'Change in Proportion Layers'!$AL$8:$AQ$322,6,FALSE)+O275+1</f>
        <v>86475</v>
      </c>
      <c r="W275" s="220">
        <f>('OPEB Amounts_Report'!H275-'OPEB Amounts_Report'!M275)</f>
        <v>523280</v>
      </c>
      <c r="X275" s="245">
        <f t="shared" si="36"/>
        <v>0</v>
      </c>
    </row>
    <row r="276" spans="1:24" s="8" customFormat="1">
      <c r="A276" s="211">
        <v>2370</v>
      </c>
      <c r="B276" s="212" t="s">
        <v>256</v>
      </c>
      <c r="C276" s="46">
        <f t="shared" si="59"/>
        <v>-119454</v>
      </c>
      <c r="D276" s="46">
        <f t="shared" si="60"/>
        <v>-168312</v>
      </c>
      <c r="E276" s="46">
        <f t="shared" si="61"/>
        <v>-139123</v>
      </c>
      <c r="F276" s="46">
        <f t="shared" si="62"/>
        <v>-50225</v>
      </c>
      <c r="G276" s="46">
        <f t="shared" si="63"/>
        <v>-4629</v>
      </c>
      <c r="I276" s="49"/>
      <c r="K276" s="220">
        <f>ROUND(VLOOKUP($A276,'Contribution Allocation_Report'!$A$9:$D$314,4,FALSE)*$K$326,0)</f>
        <v>-83623</v>
      </c>
      <c r="L276" s="220">
        <f>ROUND(VLOOKUP($A276,'Contribution Allocation_Report'!$A$9:$D$314,4,FALSE)*$L$326,0)</f>
        <v>-114688</v>
      </c>
      <c r="M276" s="220">
        <f>ROUND(VLOOKUP($A276,'Contribution Allocation_Report'!$A$9:$D$314,4,FALSE)*$M$326,0)</f>
        <v>-74987</v>
      </c>
      <c r="N276" s="220">
        <f>ROUND(VLOOKUP($A276,'Contribution Allocation_Report'!$A$9:$D$314,4,FALSE)*$N$326,0)</f>
        <v>-19181</v>
      </c>
      <c r="O276" s="220">
        <f>ROUND(VLOOKUP($A276,'Contribution Allocation_Report'!$A$9:$D$314,4,FALSE)*$O$326,0)</f>
        <v>8257</v>
      </c>
      <c r="Q276" s="220">
        <f>+VLOOKUP(A276,'Change in Proportion Layers'!$AL$8:$AQ$322,2,FALSE)+K276</f>
        <v>-119454</v>
      </c>
      <c r="R276" s="220">
        <f>+VLOOKUP(A276,'Change in Proportion Layers'!$AL$8:$AQ$322,3,FALSE)+L276</f>
        <v>-168312</v>
      </c>
      <c r="S276" s="220">
        <f>+VLOOKUP(A276,'Change in Proportion Layers'!$AL$8:$AQ$322,4,FALSE)+M276</f>
        <v>-139123</v>
      </c>
      <c r="T276" s="220">
        <f>+VLOOKUP(A276,'Change in Proportion Layers'!$AL$8:$AQ$322,5,FALSE)+N276</f>
        <v>-50225</v>
      </c>
      <c r="U276" s="220">
        <f>+VLOOKUP(A276,'Change in Proportion Layers'!$AL$8:$AQ$322,6,FALSE)+O276</f>
        <v>-4629</v>
      </c>
      <c r="W276" s="220">
        <f>('OPEB Amounts_Report'!H276-'OPEB Amounts_Report'!M276)</f>
        <v>-481743</v>
      </c>
      <c r="X276" s="245">
        <f t="shared" si="36"/>
        <v>0</v>
      </c>
    </row>
    <row r="277" spans="1:24" s="8" customFormat="1">
      <c r="A277" s="209">
        <v>32094</v>
      </c>
      <c r="B277" s="210" t="s">
        <v>257</v>
      </c>
      <c r="C277" s="219">
        <f t="shared" si="59"/>
        <v>-94521</v>
      </c>
      <c r="D277" s="219">
        <f t="shared" si="60"/>
        <v>-147173</v>
      </c>
      <c r="E277" s="219">
        <f t="shared" si="61"/>
        <v>-103445</v>
      </c>
      <c r="F277" s="219">
        <f t="shared" si="62"/>
        <v>-38105</v>
      </c>
      <c r="G277" s="219">
        <f t="shared" si="63"/>
        <v>-9417</v>
      </c>
      <c r="I277" s="49"/>
      <c r="K277" s="220">
        <f>ROUND(VLOOKUP($A277,'Contribution Allocation_Report'!$A$9:$D$314,4,FALSE)*$K$326,0)</f>
        <v>-110488</v>
      </c>
      <c r="L277" s="220">
        <f>ROUND(VLOOKUP($A277,'Contribution Allocation_Report'!$A$9:$D$314,4,FALSE)*$L$326,0)</f>
        <v>-151533</v>
      </c>
      <c r="M277" s="220">
        <f>ROUND(VLOOKUP($A277,'Contribution Allocation_Report'!$A$9:$D$314,4,FALSE)*$M$326,0)</f>
        <v>-99077</v>
      </c>
      <c r="N277" s="220">
        <f>ROUND(VLOOKUP($A277,'Contribution Allocation_Report'!$A$9:$D$314,4,FALSE)*$N$326,0)</f>
        <v>-25343</v>
      </c>
      <c r="O277" s="220">
        <f>ROUND(VLOOKUP($A277,'Contribution Allocation_Report'!$A$9:$D$314,4,FALSE)*$O$326,0)</f>
        <v>10909</v>
      </c>
      <c r="Q277" s="220">
        <f>+VLOOKUP(A277,'Change in Proportion Layers'!$AL$8:$AQ$322,2,FALSE)+K277</f>
        <v>-94521</v>
      </c>
      <c r="R277" s="220">
        <f>+VLOOKUP(A277,'Change in Proportion Layers'!$AL$8:$AQ$322,3,FALSE)+L277</f>
        <v>-147173</v>
      </c>
      <c r="S277" s="220">
        <f>+VLOOKUP(A277,'Change in Proportion Layers'!$AL$8:$AQ$322,4,FALSE)+M277</f>
        <v>-103445</v>
      </c>
      <c r="T277" s="220">
        <f>+VLOOKUP(A277,'Change in Proportion Layers'!$AL$8:$AQ$322,5,FALSE)+N277</f>
        <v>-38105</v>
      </c>
      <c r="U277" s="220">
        <f>+VLOOKUP(A277,'Change in Proportion Layers'!$AL$8:$AQ$322,6,FALSE)+O277+1</f>
        <v>-9417</v>
      </c>
      <c r="W277" s="220">
        <f>('OPEB Amounts_Report'!H277-'OPEB Amounts_Report'!M277)</f>
        <v>-392661</v>
      </c>
      <c r="X277" s="245">
        <f t="shared" ref="X277:X324" si="69">SUM(Q277:U277)-W277</f>
        <v>0</v>
      </c>
    </row>
    <row r="278" spans="1:24" s="8" customFormat="1">
      <c r="A278" s="211">
        <v>2790</v>
      </c>
      <c r="B278" s="212" t="s">
        <v>258</v>
      </c>
      <c r="C278" s="46">
        <f t="shared" si="59"/>
        <v>-19336</v>
      </c>
      <c r="D278" s="46">
        <f t="shared" si="60"/>
        <v>-10922</v>
      </c>
      <c r="E278" s="46">
        <f t="shared" si="61"/>
        <v>-13915</v>
      </c>
      <c r="F278" s="46">
        <f t="shared" si="62"/>
        <v>-6107</v>
      </c>
      <c r="G278" s="46">
        <f t="shared" si="63"/>
        <v>-328</v>
      </c>
      <c r="I278" s="49"/>
      <c r="K278" s="220">
        <f>ROUND(VLOOKUP($A278,'Contribution Allocation_Report'!$A$9:$D$314,4,FALSE)*$K$326,0)</f>
        <v>-10652</v>
      </c>
      <c r="L278" s="220">
        <f>ROUND(VLOOKUP($A278,'Contribution Allocation_Report'!$A$9:$D$314,4,FALSE)*$L$326,0)</f>
        <v>-14609</v>
      </c>
      <c r="M278" s="220">
        <f>ROUND(VLOOKUP($A278,'Contribution Allocation_Report'!$A$9:$D$314,4,FALSE)*$M$326,0)</f>
        <v>-9552</v>
      </c>
      <c r="N278" s="220">
        <f>ROUND(VLOOKUP($A278,'Contribution Allocation_Report'!$A$9:$D$314,4,FALSE)*$N$326,0)</f>
        <v>-2443</v>
      </c>
      <c r="O278" s="220">
        <f>ROUND(VLOOKUP($A278,'Contribution Allocation_Report'!$A$9:$D$314,4,FALSE)*$O$326,0)</f>
        <v>1052</v>
      </c>
      <c r="Q278" s="220">
        <f>+VLOOKUP(A278,'Change in Proportion Layers'!$AL$8:$AQ$322,2,FALSE)+K278</f>
        <v>-19336</v>
      </c>
      <c r="R278" s="220">
        <f>+VLOOKUP(A278,'Change in Proportion Layers'!$AL$8:$AQ$322,3,FALSE)+L278</f>
        <v>-10922</v>
      </c>
      <c r="S278" s="220">
        <f>+VLOOKUP(A278,'Change in Proportion Layers'!$AL$8:$AQ$322,4,FALSE)+M278</f>
        <v>-13915</v>
      </c>
      <c r="T278" s="220">
        <f>+VLOOKUP(A278,'Change in Proportion Layers'!$AL$8:$AQ$322,5,FALSE)+N278</f>
        <v>-6107</v>
      </c>
      <c r="U278" s="220">
        <f>+VLOOKUP(A278,'Change in Proportion Layers'!$AL$8:$AQ$322,6,FALSE)+O278</f>
        <v>-328</v>
      </c>
      <c r="W278" s="220">
        <f>('OPEB Amounts_Report'!H278-'OPEB Amounts_Report'!M278)</f>
        <v>-50608</v>
      </c>
      <c r="X278" s="245">
        <f t="shared" si="69"/>
        <v>0</v>
      </c>
    </row>
    <row r="279" spans="1:24" s="8" customFormat="1">
      <c r="A279" s="209">
        <v>3330</v>
      </c>
      <c r="B279" s="210" t="s">
        <v>259</v>
      </c>
      <c r="C279" s="219">
        <f t="shared" si="59"/>
        <v>-220643</v>
      </c>
      <c r="D279" s="219">
        <f t="shared" si="60"/>
        <v>-315606</v>
      </c>
      <c r="E279" s="219">
        <f t="shared" si="61"/>
        <v>-248505</v>
      </c>
      <c r="F279" s="219">
        <f t="shared" si="62"/>
        <v>-94858</v>
      </c>
      <c r="G279" s="219">
        <f t="shared" si="63"/>
        <v>23813</v>
      </c>
      <c r="I279" s="49"/>
      <c r="K279" s="220">
        <f>ROUND(VLOOKUP($A279,'Contribution Allocation_Report'!$A$9:$D$314,4,FALSE)*$K$326,0)</f>
        <v>-238449</v>
      </c>
      <c r="L279" s="220">
        <f>ROUND(VLOOKUP($A279,'Contribution Allocation_Report'!$A$9:$D$314,4,FALSE)*$L$326,0)</f>
        <v>-327032</v>
      </c>
      <c r="M279" s="220">
        <f>ROUND(VLOOKUP($A279,'Contribution Allocation_Report'!$A$9:$D$314,4,FALSE)*$M$326,0)</f>
        <v>-213824</v>
      </c>
      <c r="N279" s="220">
        <f>ROUND(VLOOKUP($A279,'Contribution Allocation_Report'!$A$9:$D$314,4,FALSE)*$N$326,0)</f>
        <v>-54693</v>
      </c>
      <c r="O279" s="220">
        <f>ROUND(VLOOKUP($A279,'Contribution Allocation_Report'!$A$9:$D$314,4,FALSE)*$O$326,0)</f>
        <v>23544</v>
      </c>
      <c r="Q279" s="220">
        <f>+VLOOKUP(A279,'Change in Proportion Layers'!$AL$8:$AQ$322,2,FALSE)+K279</f>
        <v>-220643</v>
      </c>
      <c r="R279" s="220">
        <f>+VLOOKUP(A279,'Change in Proportion Layers'!$AL$8:$AQ$322,3,FALSE)+L279</f>
        <v>-315606</v>
      </c>
      <c r="S279" s="220">
        <f>+VLOOKUP(A279,'Change in Proportion Layers'!$AL$8:$AQ$322,4,FALSE)+M279</f>
        <v>-248505</v>
      </c>
      <c r="T279" s="220">
        <f>+VLOOKUP(A279,'Change in Proportion Layers'!$AL$8:$AQ$322,5,FALSE)+N279</f>
        <v>-94858</v>
      </c>
      <c r="U279" s="220">
        <f>+VLOOKUP(A279,'Change in Proportion Layers'!$AL$8:$AQ$322,6,FALSE)+O279+2</f>
        <v>23813</v>
      </c>
      <c r="W279" s="220">
        <f>('OPEB Amounts_Report'!H279-'OPEB Amounts_Report'!M279)</f>
        <v>-855799</v>
      </c>
      <c r="X279" s="245">
        <f t="shared" si="69"/>
        <v>0</v>
      </c>
    </row>
    <row r="280" spans="1:24" s="8" customFormat="1">
      <c r="A280" s="211">
        <v>2080</v>
      </c>
      <c r="B280" s="212" t="s">
        <v>260</v>
      </c>
      <c r="C280" s="46">
        <f t="shared" si="59"/>
        <v>-315050</v>
      </c>
      <c r="D280" s="46">
        <f t="shared" si="60"/>
        <v>-447044</v>
      </c>
      <c r="E280" s="46">
        <f t="shared" si="61"/>
        <v>-270988</v>
      </c>
      <c r="F280" s="46">
        <f t="shared" si="62"/>
        <v>-64586</v>
      </c>
      <c r="G280" s="46">
        <f t="shared" si="63"/>
        <v>79458</v>
      </c>
      <c r="I280" s="49"/>
      <c r="K280" s="220">
        <f>ROUND(VLOOKUP($A280,'Contribution Allocation_Report'!$A$9:$D$314,4,FALSE)*$K$326,0)</f>
        <v>-288545</v>
      </c>
      <c r="L280" s="220">
        <f>ROUND(VLOOKUP($A280,'Contribution Allocation_Report'!$A$9:$D$314,4,FALSE)*$L$326,0)</f>
        <v>-395739</v>
      </c>
      <c r="M280" s="220">
        <f>ROUND(VLOOKUP($A280,'Contribution Allocation_Report'!$A$9:$D$314,4,FALSE)*$M$326,0)</f>
        <v>-258747</v>
      </c>
      <c r="N280" s="220">
        <f>ROUND(VLOOKUP($A280,'Contribution Allocation_Report'!$A$9:$D$314,4,FALSE)*$N$326,0)</f>
        <v>-66184</v>
      </c>
      <c r="O280" s="220">
        <f>ROUND(VLOOKUP($A280,'Contribution Allocation_Report'!$A$9:$D$314,4,FALSE)*$O$326,0)</f>
        <v>28490</v>
      </c>
      <c r="Q280" s="220">
        <f>+VLOOKUP(A280,'Change in Proportion Layers'!$AL$8:$AQ$322,2,FALSE)+K280</f>
        <v>-315050</v>
      </c>
      <c r="R280" s="220">
        <f>+VLOOKUP(A280,'Change in Proportion Layers'!$AL$8:$AQ$322,3,FALSE)+L280</f>
        <v>-447044</v>
      </c>
      <c r="S280" s="220">
        <f>+VLOOKUP(A280,'Change in Proportion Layers'!$AL$8:$AQ$322,4,FALSE)+M280</f>
        <v>-270988</v>
      </c>
      <c r="T280" s="220">
        <f>+VLOOKUP(A280,'Change in Proportion Layers'!$AL$8:$AQ$322,5,FALSE)+N280</f>
        <v>-64586</v>
      </c>
      <c r="U280" s="220">
        <f>+VLOOKUP(A280,'Change in Proportion Layers'!$AL$8:$AQ$322,6,FALSE)+O280+2</f>
        <v>79458</v>
      </c>
      <c r="W280" s="220">
        <f>('OPEB Amounts_Report'!H280-'OPEB Amounts_Report'!M280)</f>
        <v>-1018210</v>
      </c>
      <c r="X280" s="245">
        <f t="shared" si="69"/>
        <v>0</v>
      </c>
    </row>
    <row r="281" spans="1:24" s="8" customFormat="1">
      <c r="A281" s="209">
        <v>4290</v>
      </c>
      <c r="B281" s="210" t="s">
        <v>261</v>
      </c>
      <c r="C281" s="219">
        <f t="shared" si="59"/>
        <v>-67313</v>
      </c>
      <c r="D281" s="219">
        <f t="shared" si="60"/>
        <v>-108806</v>
      </c>
      <c r="E281" s="219">
        <f t="shared" si="61"/>
        <v>-53053</v>
      </c>
      <c r="F281" s="219">
        <f t="shared" si="62"/>
        <v>18985</v>
      </c>
      <c r="G281" s="219">
        <f t="shared" si="63"/>
        <v>15735</v>
      </c>
      <c r="I281" s="49"/>
      <c r="K281" s="220">
        <f>ROUND(VLOOKUP($A281,'Contribution Allocation_Report'!$A$9:$D$314,4,FALSE)*$K$326,0)</f>
        <v>-118467</v>
      </c>
      <c r="L281" s="220">
        <f>ROUND(VLOOKUP($A281,'Contribution Allocation_Report'!$A$9:$D$314,4,FALSE)*$L$326,0)</f>
        <v>-162477</v>
      </c>
      <c r="M281" s="220">
        <f>ROUND(VLOOKUP($A281,'Contribution Allocation_Report'!$A$9:$D$314,4,FALSE)*$M$326,0)</f>
        <v>-106233</v>
      </c>
      <c r="N281" s="220">
        <f>ROUND(VLOOKUP($A281,'Contribution Allocation_Report'!$A$9:$D$314,4,FALSE)*$N$326,0)</f>
        <v>-27173</v>
      </c>
      <c r="O281" s="220">
        <f>ROUND(VLOOKUP($A281,'Contribution Allocation_Report'!$A$9:$D$314,4,FALSE)*$O$326,0)</f>
        <v>11697</v>
      </c>
      <c r="Q281" s="220">
        <f>+VLOOKUP(A281,'Change in Proportion Layers'!$AL$8:$AQ$322,2,FALSE)+K281</f>
        <v>-67313</v>
      </c>
      <c r="R281" s="220">
        <f>+VLOOKUP(A281,'Change in Proportion Layers'!$AL$8:$AQ$322,3,FALSE)+L281</f>
        <v>-108806</v>
      </c>
      <c r="S281" s="220">
        <f>+VLOOKUP(A281,'Change in Proportion Layers'!$AL$8:$AQ$322,4,FALSE)+M281</f>
        <v>-53053</v>
      </c>
      <c r="T281" s="220">
        <f>+VLOOKUP(A281,'Change in Proportion Layers'!$AL$8:$AQ$322,5,FALSE)+N281</f>
        <v>18985</v>
      </c>
      <c r="U281" s="220">
        <f>+VLOOKUP(A281,'Change in Proportion Layers'!$AL$8:$AQ$322,6,FALSE)+O281+1</f>
        <v>15735</v>
      </c>
      <c r="W281" s="220">
        <f>('OPEB Amounts_Report'!H281-'OPEB Amounts_Report'!M281)</f>
        <v>-194452</v>
      </c>
      <c r="X281" s="245">
        <f t="shared" si="69"/>
        <v>0</v>
      </c>
    </row>
    <row r="282" spans="1:24" s="8" customFormat="1">
      <c r="A282" s="211">
        <v>2270</v>
      </c>
      <c r="B282" s="212" t="s">
        <v>262</v>
      </c>
      <c r="C282" s="46">
        <f t="shared" si="59"/>
        <v>-17961</v>
      </c>
      <c r="D282" s="46">
        <f t="shared" si="60"/>
        <v>-13572</v>
      </c>
      <c r="E282" s="46">
        <f t="shared" si="61"/>
        <v>-6578</v>
      </c>
      <c r="F282" s="46">
        <f t="shared" si="62"/>
        <v>-2135</v>
      </c>
      <c r="G282" s="46">
        <f t="shared" si="63"/>
        <v>-722</v>
      </c>
      <c r="I282" s="49"/>
      <c r="K282" s="220">
        <f>ROUND(VLOOKUP($A282,'Contribution Allocation_Report'!$A$9:$D$314,4,FALSE)*$K$326,0)</f>
        <v>-4074</v>
      </c>
      <c r="L282" s="220">
        <f>ROUND(VLOOKUP($A282,'Contribution Allocation_Report'!$A$9:$D$314,4,FALSE)*$L$326,0)</f>
        <v>-5588</v>
      </c>
      <c r="M282" s="220">
        <f>ROUND(VLOOKUP($A282,'Contribution Allocation_Report'!$A$9:$D$314,4,FALSE)*$M$326,0)</f>
        <v>-3653</v>
      </c>
      <c r="N282" s="220">
        <f>ROUND(VLOOKUP($A282,'Contribution Allocation_Report'!$A$9:$D$314,4,FALSE)*$N$326,0)</f>
        <v>-934</v>
      </c>
      <c r="O282" s="220">
        <f>ROUND(VLOOKUP($A282,'Contribution Allocation_Report'!$A$9:$D$314,4,FALSE)*$O$326,0)</f>
        <v>402</v>
      </c>
      <c r="Q282" s="220">
        <f>+VLOOKUP(A282,'Change in Proportion Layers'!$AL$8:$AQ$322,2,FALSE)+K282</f>
        <v>-17961</v>
      </c>
      <c r="R282" s="220">
        <f>+VLOOKUP(A282,'Change in Proportion Layers'!$AL$8:$AQ$322,3,FALSE)+L282</f>
        <v>-13572</v>
      </c>
      <c r="S282" s="220">
        <f>+VLOOKUP(A282,'Change in Proportion Layers'!$AL$8:$AQ$322,4,FALSE)+M282</f>
        <v>-6578</v>
      </c>
      <c r="T282" s="220">
        <f>+VLOOKUP(A282,'Change in Proportion Layers'!$AL$8:$AQ$322,5,FALSE)+N282</f>
        <v>-2135</v>
      </c>
      <c r="U282" s="220">
        <f>+VLOOKUP(A282,'Change in Proportion Layers'!$AL$8:$AQ$322,6,FALSE)+O282</f>
        <v>-722</v>
      </c>
      <c r="W282" s="220">
        <f>('OPEB Amounts_Report'!H282-'OPEB Amounts_Report'!M282)</f>
        <v>-40968</v>
      </c>
      <c r="X282" s="245">
        <f t="shared" si="69"/>
        <v>0</v>
      </c>
    </row>
    <row r="283" spans="1:24" s="8" customFormat="1">
      <c r="A283" s="209">
        <v>2300</v>
      </c>
      <c r="B283" s="210" t="s">
        <v>263</v>
      </c>
      <c r="C283" s="219">
        <f t="shared" si="59"/>
        <v>-7671</v>
      </c>
      <c r="D283" s="219">
        <f t="shared" si="60"/>
        <v>-26310</v>
      </c>
      <c r="E283" s="219">
        <f t="shared" si="61"/>
        <v>843</v>
      </c>
      <c r="F283" s="219">
        <f t="shared" si="62"/>
        <v>25043</v>
      </c>
      <c r="G283" s="219">
        <f t="shared" si="63"/>
        <v>27695</v>
      </c>
      <c r="I283" s="49"/>
      <c r="K283" s="220">
        <f>ROUND(VLOOKUP($A283,'Contribution Allocation_Report'!$A$9:$D$314,4,FALSE)*$K$326,0)</f>
        <v>-45520</v>
      </c>
      <c r="L283" s="220">
        <f>ROUND(VLOOKUP($A283,'Contribution Allocation_Report'!$A$9:$D$314,4,FALSE)*$L$326,0)</f>
        <v>-62431</v>
      </c>
      <c r="M283" s="220">
        <f>ROUND(VLOOKUP($A283,'Contribution Allocation_Report'!$A$9:$D$314,4,FALSE)*$M$326,0)</f>
        <v>-40819</v>
      </c>
      <c r="N283" s="220">
        <f>ROUND(VLOOKUP($A283,'Contribution Allocation_Report'!$A$9:$D$314,4,FALSE)*$N$326,0)</f>
        <v>-10441</v>
      </c>
      <c r="O283" s="220">
        <f>ROUND(VLOOKUP($A283,'Contribution Allocation_Report'!$A$9:$D$314,4,FALSE)*$O$326,0)</f>
        <v>4495</v>
      </c>
      <c r="Q283" s="220">
        <f>+VLOOKUP(A283,'Change in Proportion Layers'!$AL$8:$AQ$322,2,FALSE)+K283</f>
        <v>-7671</v>
      </c>
      <c r="R283" s="220">
        <f>+VLOOKUP(A283,'Change in Proportion Layers'!$AL$8:$AQ$322,3,FALSE)+L283</f>
        <v>-26310</v>
      </c>
      <c r="S283" s="220">
        <f>+VLOOKUP(A283,'Change in Proportion Layers'!$AL$8:$AQ$322,4,FALSE)+M283</f>
        <v>843</v>
      </c>
      <c r="T283" s="220">
        <f>+VLOOKUP(A283,'Change in Proportion Layers'!$AL$8:$AQ$322,5,FALSE)+N283</f>
        <v>25043</v>
      </c>
      <c r="U283" s="220">
        <f>+VLOOKUP(A283,'Change in Proportion Layers'!$AL$8:$AQ$322,6,FALSE)+O283</f>
        <v>27695</v>
      </c>
      <c r="W283" s="220">
        <f>('OPEB Amounts_Report'!H283-'OPEB Amounts_Report'!M283)</f>
        <v>19600</v>
      </c>
      <c r="X283" s="245">
        <f t="shared" si="69"/>
        <v>0</v>
      </c>
    </row>
    <row r="284" spans="1:24" s="8" customFormat="1">
      <c r="A284" s="211">
        <v>2720</v>
      </c>
      <c r="B284" s="212" t="s">
        <v>264</v>
      </c>
      <c r="C284" s="46">
        <f t="shared" si="59"/>
        <v>-461484</v>
      </c>
      <c r="D284" s="46">
        <f t="shared" si="60"/>
        <v>-507262</v>
      </c>
      <c r="E284" s="46">
        <f t="shared" si="61"/>
        <v>-354706</v>
      </c>
      <c r="F284" s="46">
        <f t="shared" si="62"/>
        <v>-125538</v>
      </c>
      <c r="G284" s="46">
        <f t="shared" si="63"/>
        <v>1747</v>
      </c>
      <c r="I284" s="49"/>
      <c r="K284" s="220">
        <f>ROUND(VLOOKUP($A284,'Contribution Allocation_Report'!$A$9:$D$314,4,FALSE)*$K$326,0)</f>
        <v>-359691</v>
      </c>
      <c r="L284" s="220">
        <f>ROUND(VLOOKUP($A284,'Contribution Allocation_Report'!$A$9:$D$314,4,FALSE)*$L$326,0)</f>
        <v>-493316</v>
      </c>
      <c r="M284" s="220">
        <f>ROUND(VLOOKUP($A284,'Contribution Allocation_Report'!$A$9:$D$314,4,FALSE)*$M$326,0)</f>
        <v>-322545</v>
      </c>
      <c r="N284" s="220">
        <f>ROUND(VLOOKUP($A284,'Contribution Allocation_Report'!$A$9:$D$314,4,FALSE)*$N$326,0)</f>
        <v>-82503</v>
      </c>
      <c r="O284" s="220">
        <f>ROUND(VLOOKUP($A284,'Contribution Allocation_Report'!$A$9:$D$314,4,FALSE)*$O$326,0)</f>
        <v>35515</v>
      </c>
      <c r="Q284" s="220">
        <f>+VLOOKUP(A284,'Change in Proportion Layers'!$AL$8:$AQ$322,2,FALSE)+K284</f>
        <v>-461484</v>
      </c>
      <c r="R284" s="220">
        <f>+VLOOKUP(A284,'Change in Proportion Layers'!$AL$8:$AQ$322,3,FALSE)+L284</f>
        <v>-507262</v>
      </c>
      <c r="S284" s="220">
        <f>+VLOOKUP(A284,'Change in Proportion Layers'!$AL$8:$AQ$322,4,FALSE)+M284</f>
        <v>-354706</v>
      </c>
      <c r="T284" s="220">
        <f>+VLOOKUP(A284,'Change in Proportion Layers'!$AL$8:$AQ$322,5,FALSE)+N284</f>
        <v>-125538</v>
      </c>
      <c r="U284" s="220">
        <f>+VLOOKUP(A284,'Change in Proportion Layers'!$AL$8:$AQ$322,6,FALSE)+O284-1</f>
        <v>1747</v>
      </c>
      <c r="W284" s="220">
        <f>('OPEB Amounts_Report'!H284-'OPEB Amounts_Report'!M284)</f>
        <v>-1447243</v>
      </c>
      <c r="X284" s="245">
        <f t="shared" si="69"/>
        <v>0</v>
      </c>
    </row>
    <row r="285" spans="1:24" s="8" customFormat="1">
      <c r="A285" s="209">
        <v>2750</v>
      </c>
      <c r="B285" s="210" t="s">
        <v>265</v>
      </c>
      <c r="C285" s="219">
        <f t="shared" si="59"/>
        <v>-28062</v>
      </c>
      <c r="D285" s="219">
        <f t="shared" si="60"/>
        <v>-39683</v>
      </c>
      <c r="E285" s="219">
        <f t="shared" si="61"/>
        <v>-23662</v>
      </c>
      <c r="F285" s="219">
        <f t="shared" si="62"/>
        <v>-18104</v>
      </c>
      <c r="G285" s="219">
        <f t="shared" si="63"/>
        <v>-9548</v>
      </c>
      <c r="I285" s="49"/>
      <c r="K285" s="220">
        <f>ROUND(VLOOKUP($A285,'Contribution Allocation_Report'!$A$9:$D$314,4,FALSE)*$K$326,0)</f>
        <v>-21905</v>
      </c>
      <c r="L285" s="220">
        <f>ROUND(VLOOKUP($A285,'Contribution Allocation_Report'!$A$9:$D$314,4,FALSE)*$L$326,0)</f>
        <v>-30043</v>
      </c>
      <c r="M285" s="220">
        <f>ROUND(VLOOKUP($A285,'Contribution Allocation_Report'!$A$9:$D$314,4,FALSE)*$M$326,0)</f>
        <v>-19643</v>
      </c>
      <c r="N285" s="220">
        <f>ROUND(VLOOKUP($A285,'Contribution Allocation_Report'!$A$9:$D$314,4,FALSE)*$N$326,0)</f>
        <v>-5024</v>
      </c>
      <c r="O285" s="220">
        <f>ROUND(VLOOKUP($A285,'Contribution Allocation_Report'!$A$9:$D$314,4,FALSE)*$O$326,0)</f>
        <v>2163</v>
      </c>
      <c r="Q285" s="220">
        <f>+VLOOKUP(A285,'Change in Proportion Layers'!$AL$8:$AQ$322,2,FALSE)+K285</f>
        <v>-28062</v>
      </c>
      <c r="R285" s="220">
        <f>+VLOOKUP(A285,'Change in Proportion Layers'!$AL$8:$AQ$322,3,FALSE)+L285</f>
        <v>-39683</v>
      </c>
      <c r="S285" s="220">
        <f>+VLOOKUP(A285,'Change in Proportion Layers'!$AL$8:$AQ$322,4,FALSE)+M285</f>
        <v>-23662</v>
      </c>
      <c r="T285" s="220">
        <f>+VLOOKUP(A285,'Change in Proportion Layers'!$AL$8:$AQ$322,5,FALSE)+N285</f>
        <v>-18104</v>
      </c>
      <c r="U285" s="220">
        <f>+VLOOKUP(A285,'Change in Proportion Layers'!$AL$8:$AQ$322,6,FALSE)+O285</f>
        <v>-9548</v>
      </c>
      <c r="W285" s="220">
        <f>('OPEB Amounts_Report'!H285-'OPEB Amounts_Report'!M285)</f>
        <v>-119059</v>
      </c>
      <c r="X285" s="245">
        <f t="shared" si="69"/>
        <v>0</v>
      </c>
    </row>
    <row r="286" spans="1:24" s="8" customFormat="1">
      <c r="A286" s="211">
        <v>2770</v>
      </c>
      <c r="B286" s="212" t="s">
        <v>266</v>
      </c>
      <c r="C286" s="46">
        <f t="shared" si="59"/>
        <v>-405869</v>
      </c>
      <c r="D286" s="46">
        <f t="shared" si="60"/>
        <v>-414830</v>
      </c>
      <c r="E286" s="46">
        <f t="shared" si="61"/>
        <v>-221027</v>
      </c>
      <c r="F286" s="46">
        <f t="shared" si="62"/>
        <v>-86602</v>
      </c>
      <c r="G286" s="46">
        <f t="shared" si="63"/>
        <v>28110</v>
      </c>
      <c r="I286" s="49"/>
      <c r="K286" s="220">
        <f>ROUND(VLOOKUP($A286,'Contribution Allocation_Report'!$A$9:$D$314,4,FALSE)*$K$326,0)</f>
        <v>-315436</v>
      </c>
      <c r="L286" s="220">
        <f>ROUND(VLOOKUP($A286,'Contribution Allocation_Report'!$A$9:$D$314,4,FALSE)*$L$326,0)</f>
        <v>-432620</v>
      </c>
      <c r="M286" s="220">
        <f>ROUND(VLOOKUP($A286,'Contribution Allocation_Report'!$A$9:$D$314,4,FALSE)*$M$326,0)</f>
        <v>-282861</v>
      </c>
      <c r="N286" s="220">
        <f>ROUND(VLOOKUP($A286,'Contribution Allocation_Report'!$A$9:$D$314,4,FALSE)*$N$326,0)</f>
        <v>-72352</v>
      </c>
      <c r="O286" s="220">
        <f>ROUND(VLOOKUP($A286,'Contribution Allocation_Report'!$A$9:$D$314,4,FALSE)*$O$326,0)</f>
        <v>31145</v>
      </c>
      <c r="Q286" s="220">
        <f>+VLOOKUP(A286,'Change in Proportion Layers'!$AL$8:$AQ$322,2,FALSE)+K286</f>
        <v>-405869</v>
      </c>
      <c r="R286" s="220">
        <f>+VLOOKUP(A286,'Change in Proportion Layers'!$AL$8:$AQ$322,3,FALSE)+L286</f>
        <v>-414830</v>
      </c>
      <c r="S286" s="220">
        <f>+VLOOKUP(A286,'Change in Proportion Layers'!$AL$8:$AQ$322,4,FALSE)+M286</f>
        <v>-221027</v>
      </c>
      <c r="T286" s="220">
        <f>+VLOOKUP(A286,'Change in Proportion Layers'!$AL$8:$AQ$322,5,FALSE)+N286</f>
        <v>-86602</v>
      </c>
      <c r="U286" s="220">
        <f>+VLOOKUP(A286,'Change in Proportion Layers'!$AL$8:$AQ$322,6,FALSE)+O286</f>
        <v>28110</v>
      </c>
      <c r="W286" s="220">
        <f>('OPEB Amounts_Report'!H286-'OPEB Amounts_Report'!M286)</f>
        <v>-1100218</v>
      </c>
      <c r="X286" s="245">
        <f t="shared" si="69"/>
        <v>0</v>
      </c>
    </row>
    <row r="287" spans="1:24" s="8" customFormat="1">
      <c r="A287" s="209">
        <v>32106</v>
      </c>
      <c r="B287" s="210" t="s">
        <v>267</v>
      </c>
      <c r="C287" s="219">
        <f t="shared" si="59"/>
        <v>-65117</v>
      </c>
      <c r="D287" s="219">
        <f t="shared" si="60"/>
        <v>-51836</v>
      </c>
      <c r="E287" s="219">
        <f t="shared" si="61"/>
        <v>-75343</v>
      </c>
      <c r="F287" s="219">
        <f t="shared" si="62"/>
        <v>-49801</v>
      </c>
      <c r="G287" s="219">
        <f t="shared" si="63"/>
        <v>-20757</v>
      </c>
      <c r="I287" s="49"/>
      <c r="K287" s="220">
        <f>ROUND(VLOOKUP($A287,'Contribution Allocation_Report'!$A$9:$D$314,4,FALSE)*$K$326,0)</f>
        <v>-17024</v>
      </c>
      <c r="L287" s="220">
        <f>ROUND(VLOOKUP($A287,'Contribution Allocation_Report'!$A$9:$D$314,4,FALSE)*$L$326,0)</f>
        <v>-23348</v>
      </c>
      <c r="M287" s="220">
        <f>ROUND(VLOOKUP($A287,'Contribution Allocation_Report'!$A$9:$D$314,4,FALSE)*$M$326,0)</f>
        <v>-15266</v>
      </c>
      <c r="N287" s="220">
        <f>ROUND(VLOOKUP($A287,'Contribution Allocation_Report'!$A$9:$D$314,4,FALSE)*$N$326,0)</f>
        <v>-3905</v>
      </c>
      <c r="O287" s="220">
        <f>ROUND(VLOOKUP($A287,'Contribution Allocation_Report'!$A$9:$D$314,4,FALSE)*$O$326,0)</f>
        <v>1681</v>
      </c>
      <c r="Q287" s="220">
        <f>+VLOOKUP(A287,'Change in Proportion Layers'!$AL$8:$AQ$322,2,FALSE)+K287</f>
        <v>-65117</v>
      </c>
      <c r="R287" s="220">
        <f>+VLOOKUP(A287,'Change in Proportion Layers'!$AL$8:$AQ$322,3,FALSE)+L287</f>
        <v>-51836</v>
      </c>
      <c r="S287" s="220">
        <f>+VLOOKUP(A287,'Change in Proportion Layers'!$AL$8:$AQ$322,4,FALSE)+M287</f>
        <v>-75343</v>
      </c>
      <c r="T287" s="220">
        <f>+VLOOKUP(A287,'Change in Proportion Layers'!$AL$8:$AQ$322,5,FALSE)+N287</f>
        <v>-49801</v>
      </c>
      <c r="U287" s="220">
        <f>+VLOOKUP(A287,'Change in Proportion Layers'!$AL$8:$AQ$322,6,FALSE)+O287</f>
        <v>-20757</v>
      </c>
      <c r="W287" s="220">
        <f>('OPEB Amounts_Report'!H287-'OPEB Amounts_Report'!M287)</f>
        <v>-262854</v>
      </c>
      <c r="X287" s="245">
        <f t="shared" si="69"/>
        <v>0</v>
      </c>
    </row>
    <row r="288" spans="1:24" s="8" customFormat="1">
      <c r="A288" s="211">
        <v>4180</v>
      </c>
      <c r="B288" s="212" t="s">
        <v>268</v>
      </c>
      <c r="C288" s="46">
        <f t="shared" si="59"/>
        <v>-52804</v>
      </c>
      <c r="D288" s="46">
        <f t="shared" si="60"/>
        <v>-54630</v>
      </c>
      <c r="E288" s="46">
        <f t="shared" si="61"/>
        <v>-53999</v>
      </c>
      <c r="F288" s="46">
        <f t="shared" si="62"/>
        <v>-19819</v>
      </c>
      <c r="G288" s="46">
        <f t="shared" si="63"/>
        <v>-1964</v>
      </c>
      <c r="I288" s="49"/>
      <c r="K288" s="220">
        <f>ROUND(VLOOKUP($A288,'Contribution Allocation_Report'!$A$9:$D$314,4,FALSE)*$K$326,0)</f>
        <v>-33228</v>
      </c>
      <c r="L288" s="220">
        <f>ROUND(VLOOKUP($A288,'Contribution Allocation_Report'!$A$9:$D$314,4,FALSE)*$L$326,0)</f>
        <v>-45572</v>
      </c>
      <c r="M288" s="220">
        <f>ROUND(VLOOKUP($A288,'Contribution Allocation_Report'!$A$9:$D$314,4,FALSE)*$M$326,0)</f>
        <v>-29797</v>
      </c>
      <c r="N288" s="220">
        <f>ROUND(VLOOKUP($A288,'Contribution Allocation_Report'!$A$9:$D$314,4,FALSE)*$N$326,0)</f>
        <v>-7622</v>
      </c>
      <c r="O288" s="220">
        <f>ROUND(VLOOKUP($A288,'Contribution Allocation_Report'!$A$9:$D$314,4,FALSE)*$O$326,0)</f>
        <v>3281</v>
      </c>
      <c r="Q288" s="220">
        <f>+VLOOKUP(A288,'Change in Proportion Layers'!$AL$8:$AQ$322,2,FALSE)+K288</f>
        <v>-52804</v>
      </c>
      <c r="R288" s="220">
        <f>+VLOOKUP(A288,'Change in Proportion Layers'!$AL$8:$AQ$322,3,FALSE)+L288</f>
        <v>-54630</v>
      </c>
      <c r="S288" s="220">
        <f>+VLOOKUP(A288,'Change in Proportion Layers'!$AL$8:$AQ$322,4,FALSE)+M288</f>
        <v>-53999</v>
      </c>
      <c r="T288" s="220">
        <f>+VLOOKUP(A288,'Change in Proportion Layers'!$AL$8:$AQ$322,5,FALSE)+N288</f>
        <v>-19819</v>
      </c>
      <c r="U288" s="220">
        <f>+VLOOKUP(A288,'Change in Proportion Layers'!$AL$8:$AQ$322,6,FALSE)+O288+1</f>
        <v>-1964</v>
      </c>
      <c r="W288" s="220">
        <f>('OPEB Amounts_Report'!H288-'OPEB Amounts_Report'!M288)</f>
        <v>-183216</v>
      </c>
      <c r="X288" s="245">
        <f t="shared" si="69"/>
        <v>0</v>
      </c>
    </row>
    <row r="289" spans="1:24" s="8" customFormat="1">
      <c r="A289" s="209">
        <v>21063</v>
      </c>
      <c r="B289" s="210" t="s">
        <v>269</v>
      </c>
      <c r="C289" s="219">
        <f t="shared" si="59"/>
        <v>-493247</v>
      </c>
      <c r="D289" s="219">
        <f t="shared" si="60"/>
        <v>-675581</v>
      </c>
      <c r="E289" s="219">
        <f t="shared" si="61"/>
        <v>-440450</v>
      </c>
      <c r="F289" s="219">
        <f t="shared" si="62"/>
        <v>-76134</v>
      </c>
      <c r="G289" s="219">
        <f t="shared" si="63"/>
        <v>124412</v>
      </c>
      <c r="I289" s="49"/>
      <c r="K289" s="220">
        <f>ROUND(VLOOKUP($A289,'Contribution Allocation_Report'!$A$9:$D$314,4,FALSE)*$K$326,0)</f>
        <v>-552129</v>
      </c>
      <c r="L289" s="220">
        <f>ROUND(VLOOKUP($A289,'Contribution Allocation_Report'!$A$9:$D$314,4,FALSE)*$L$326,0)</f>
        <v>-757243</v>
      </c>
      <c r="M289" s="220">
        <f>ROUND(VLOOKUP($A289,'Contribution Allocation_Report'!$A$9:$D$314,4,FALSE)*$M$326,0)</f>
        <v>-495109</v>
      </c>
      <c r="N289" s="220">
        <f>ROUND(VLOOKUP($A289,'Contribution Allocation_Report'!$A$9:$D$314,4,FALSE)*$N$326,0)</f>
        <v>-126642</v>
      </c>
      <c r="O289" s="220">
        <f>ROUND(VLOOKUP($A289,'Contribution Allocation_Report'!$A$9:$D$314,4,FALSE)*$O$326,0)</f>
        <v>54516</v>
      </c>
      <c r="Q289" s="220">
        <f>+VLOOKUP(A289,'Change in Proportion Layers'!$AL$8:$AQ$322,2,FALSE)+K289</f>
        <v>-493247</v>
      </c>
      <c r="R289" s="220">
        <f>+VLOOKUP(A289,'Change in Proportion Layers'!$AL$8:$AQ$322,3,FALSE)+L289</f>
        <v>-675581</v>
      </c>
      <c r="S289" s="220">
        <f>+VLOOKUP(A289,'Change in Proportion Layers'!$AL$8:$AQ$322,4,FALSE)+M289</f>
        <v>-440450</v>
      </c>
      <c r="T289" s="220">
        <f>+VLOOKUP(A289,'Change in Proportion Layers'!$AL$8:$AQ$322,5,FALSE)+N289</f>
        <v>-76134</v>
      </c>
      <c r="U289" s="220">
        <f>+VLOOKUP(A289,'Change in Proportion Layers'!$AL$8:$AQ$322,6,FALSE)+O289-1</f>
        <v>124412</v>
      </c>
      <c r="W289" s="220">
        <f>('OPEB Amounts_Report'!H289-'OPEB Amounts_Report'!M289)</f>
        <v>-1561000</v>
      </c>
      <c r="X289" s="245">
        <f t="shared" si="69"/>
        <v>0</v>
      </c>
    </row>
    <row r="290" spans="1:24" s="8" customFormat="1">
      <c r="A290" s="211">
        <v>10033</v>
      </c>
      <c r="B290" s="212" t="s">
        <v>270</v>
      </c>
      <c r="C290" s="46">
        <f t="shared" si="59"/>
        <v>-389645</v>
      </c>
      <c r="D290" s="46">
        <f t="shared" si="60"/>
        <v>-497461</v>
      </c>
      <c r="E290" s="46">
        <f t="shared" si="61"/>
        <v>-357023</v>
      </c>
      <c r="F290" s="46">
        <f t="shared" si="62"/>
        <v>-113849</v>
      </c>
      <c r="G290" s="46">
        <f t="shared" si="63"/>
        <v>-15099</v>
      </c>
      <c r="I290" s="49"/>
      <c r="K290" s="220">
        <f>ROUND(VLOOKUP($A290,'Contribution Allocation_Report'!$A$9:$D$314,4,FALSE)*$K$326,0)</f>
        <v>-345669</v>
      </c>
      <c r="L290" s="220">
        <f>ROUND(VLOOKUP($A290,'Contribution Allocation_Report'!$A$9:$D$314,4,FALSE)*$L$326,0)</f>
        <v>-474084</v>
      </c>
      <c r="M290" s="220">
        <f>ROUND(VLOOKUP($A290,'Contribution Allocation_Report'!$A$9:$D$314,4,FALSE)*$M$326,0)</f>
        <v>-309971</v>
      </c>
      <c r="N290" s="220">
        <f>ROUND(VLOOKUP($A290,'Contribution Allocation_Report'!$A$9:$D$314,4,FALSE)*$N$326,0)</f>
        <v>-79286</v>
      </c>
      <c r="O290" s="220">
        <f>ROUND(VLOOKUP($A290,'Contribution Allocation_Report'!$A$9:$D$314,4,FALSE)*$O$326,0)</f>
        <v>34130</v>
      </c>
      <c r="Q290" s="220">
        <f>+VLOOKUP(A290,'Change in Proportion Layers'!$AL$8:$AQ$322,2,FALSE)+K290</f>
        <v>-389645</v>
      </c>
      <c r="R290" s="220">
        <f>+VLOOKUP(A290,'Change in Proportion Layers'!$AL$8:$AQ$322,3,FALSE)+L290</f>
        <v>-497461</v>
      </c>
      <c r="S290" s="220">
        <f>+VLOOKUP(A290,'Change in Proportion Layers'!$AL$8:$AQ$322,4,FALSE)+M290</f>
        <v>-357023</v>
      </c>
      <c r="T290" s="220">
        <f>+VLOOKUP(A290,'Change in Proportion Layers'!$AL$8:$AQ$322,5,FALSE)+N290</f>
        <v>-113849</v>
      </c>
      <c r="U290" s="220">
        <f>+VLOOKUP(A290,'Change in Proportion Layers'!$AL$8:$AQ$322,6,FALSE)+O290-1</f>
        <v>-15099</v>
      </c>
      <c r="W290" s="220">
        <f>('OPEB Amounts_Report'!H290-'OPEB Amounts_Report'!M290)</f>
        <v>-1373077</v>
      </c>
      <c r="X290" s="245">
        <f t="shared" si="69"/>
        <v>0</v>
      </c>
    </row>
    <row r="291" spans="1:24" s="8" customFormat="1">
      <c r="A291" s="209">
        <v>15049</v>
      </c>
      <c r="B291" s="210" t="s">
        <v>271</v>
      </c>
      <c r="C291" s="219">
        <f t="shared" si="59"/>
        <v>-314084</v>
      </c>
      <c r="D291" s="219">
        <f t="shared" si="60"/>
        <v>-456244</v>
      </c>
      <c r="E291" s="219">
        <f t="shared" si="61"/>
        <v>-257297</v>
      </c>
      <c r="F291" s="219">
        <f t="shared" si="62"/>
        <v>-12974</v>
      </c>
      <c r="G291" s="219">
        <f t="shared" si="63"/>
        <v>49515</v>
      </c>
      <c r="I291" s="49"/>
      <c r="K291" s="220">
        <f>ROUND(VLOOKUP($A291,'Contribution Allocation_Report'!$A$9:$D$314,4,FALSE)*$K$326,0)</f>
        <v>-421966</v>
      </c>
      <c r="L291" s="220">
        <f>ROUND(VLOOKUP($A291,'Contribution Allocation_Report'!$A$9:$D$314,4,FALSE)*$L$326,0)</f>
        <v>-578725</v>
      </c>
      <c r="M291" s="220">
        <f>ROUND(VLOOKUP($A291,'Contribution Allocation_Report'!$A$9:$D$314,4,FALSE)*$M$326,0)</f>
        <v>-378389</v>
      </c>
      <c r="N291" s="220">
        <f>ROUND(VLOOKUP($A291,'Contribution Allocation_Report'!$A$9:$D$314,4,FALSE)*$N$326,0)</f>
        <v>-96787</v>
      </c>
      <c r="O291" s="220">
        <f>ROUND(VLOOKUP($A291,'Contribution Allocation_Report'!$A$9:$D$314,4,FALSE)*$O$326,0)</f>
        <v>41664</v>
      </c>
      <c r="Q291" s="220">
        <f>+VLOOKUP(A291,'Change in Proportion Layers'!$AL$8:$AQ$322,2,FALSE)+K291</f>
        <v>-314084</v>
      </c>
      <c r="R291" s="220">
        <f>+VLOOKUP(A291,'Change in Proportion Layers'!$AL$8:$AQ$322,3,FALSE)+L291</f>
        <v>-456244</v>
      </c>
      <c r="S291" s="220">
        <f>+VLOOKUP(A291,'Change in Proportion Layers'!$AL$8:$AQ$322,4,FALSE)+M291</f>
        <v>-257297</v>
      </c>
      <c r="T291" s="220">
        <f>+VLOOKUP(A291,'Change in Proportion Layers'!$AL$8:$AQ$322,5,FALSE)+N291</f>
        <v>-12974</v>
      </c>
      <c r="U291" s="220">
        <f>+VLOOKUP(A291,'Change in Proportion Layers'!$AL$8:$AQ$322,6,FALSE)+O291</f>
        <v>49515</v>
      </c>
      <c r="W291" s="220">
        <f>('OPEB Amounts_Report'!H291-'OPEB Amounts_Report'!M291)</f>
        <v>-991084</v>
      </c>
      <c r="X291" s="245">
        <f t="shared" si="69"/>
        <v>0</v>
      </c>
    </row>
    <row r="292" spans="1:24" s="8" customFormat="1">
      <c r="A292" s="211">
        <v>1315</v>
      </c>
      <c r="B292" s="212" t="s">
        <v>272</v>
      </c>
      <c r="C292" s="46">
        <f t="shared" si="59"/>
        <v>-73691</v>
      </c>
      <c r="D292" s="46">
        <f t="shared" si="60"/>
        <v>-223300</v>
      </c>
      <c r="E292" s="46">
        <f t="shared" si="61"/>
        <v>-159214</v>
      </c>
      <c r="F292" s="46">
        <f t="shared" si="62"/>
        <v>-88909</v>
      </c>
      <c r="G292" s="46">
        <f t="shared" si="63"/>
        <v>-15849</v>
      </c>
      <c r="I292" s="49"/>
      <c r="K292" s="220">
        <f>ROUND(VLOOKUP($A292,'Contribution Allocation_Report'!$A$9:$D$314,4,FALSE)*$K$326,0)</f>
        <v>-229788</v>
      </c>
      <c r="L292" s="220">
        <f>ROUND(VLOOKUP($A292,'Contribution Allocation_Report'!$A$9:$D$314,4,FALSE)*$L$326,0)</f>
        <v>-315153</v>
      </c>
      <c r="M292" s="220">
        <f>ROUND(VLOOKUP($A292,'Contribution Allocation_Report'!$A$9:$D$314,4,FALSE)*$M$326,0)</f>
        <v>-206057</v>
      </c>
      <c r="N292" s="220">
        <f>ROUND(VLOOKUP($A292,'Contribution Allocation_Report'!$A$9:$D$314,4,FALSE)*$N$326,0)</f>
        <v>-52706</v>
      </c>
      <c r="O292" s="220">
        <f>ROUND(VLOOKUP($A292,'Contribution Allocation_Report'!$A$9:$D$314,4,FALSE)*$O$326,0)</f>
        <v>22689</v>
      </c>
      <c r="Q292" s="220">
        <f>+VLOOKUP(A292,'Change in Proportion Layers'!$AL$8:$AQ$322,2,FALSE)+K292</f>
        <v>-73691</v>
      </c>
      <c r="R292" s="220">
        <f>+VLOOKUP(A292,'Change in Proportion Layers'!$AL$8:$AQ$322,3,FALSE)+L292</f>
        <v>-223300</v>
      </c>
      <c r="S292" s="220">
        <f>+VLOOKUP(A292,'Change in Proportion Layers'!$AL$8:$AQ$322,4,FALSE)+M292</f>
        <v>-159214</v>
      </c>
      <c r="T292" s="220">
        <f>+VLOOKUP(A292,'Change in Proportion Layers'!$AL$8:$AQ$322,5,FALSE)+N292</f>
        <v>-88909</v>
      </c>
      <c r="U292" s="220">
        <f>+VLOOKUP(A292,'Change in Proportion Layers'!$AL$8:$AQ$322,6,FALSE)+O292</f>
        <v>-15849</v>
      </c>
      <c r="W292" s="220">
        <f>('OPEB Amounts_Report'!H292-'OPEB Amounts_Report'!M292)</f>
        <v>-560963</v>
      </c>
      <c r="X292" s="245">
        <f t="shared" si="69"/>
        <v>0</v>
      </c>
    </row>
    <row r="293" spans="1:24" s="8" customFormat="1">
      <c r="A293" s="277">
        <v>3340</v>
      </c>
      <c r="B293" s="278" t="s">
        <v>273</v>
      </c>
      <c r="C293" s="279">
        <f t="shared" si="59"/>
        <v>-137118</v>
      </c>
      <c r="D293" s="279">
        <f t="shared" si="60"/>
        <v>-129752</v>
      </c>
      <c r="E293" s="279">
        <f t="shared" si="61"/>
        <v>-113763</v>
      </c>
      <c r="F293" s="279">
        <f t="shared" si="62"/>
        <v>-62900</v>
      </c>
      <c r="G293" s="279">
        <f t="shared" si="63"/>
        <v>-4335</v>
      </c>
      <c r="I293" s="49"/>
      <c r="K293" s="220">
        <f>ROUND(VLOOKUP($A293,'Contribution Allocation_Report'!$A$9:$D$314,4,FALSE)*$K$326,0)</f>
        <v>-74063</v>
      </c>
      <c r="L293" s="220">
        <f>ROUND(VLOOKUP($A293,'Contribution Allocation_Report'!$A$9:$D$314,4,FALSE)*$L$326,0)</f>
        <v>-101577</v>
      </c>
      <c r="M293" s="220">
        <f>ROUND(VLOOKUP($A293,'Contribution Allocation_Report'!$A$9:$D$314,4,FALSE)*$M$326,0)</f>
        <v>-66414</v>
      </c>
      <c r="N293" s="220">
        <f>ROUND(VLOOKUP($A293,'Contribution Allocation_Report'!$A$9:$D$314,4,FALSE)*$N$326,0)</f>
        <v>-16988</v>
      </c>
      <c r="O293" s="220">
        <f>ROUND(VLOOKUP($A293,'Contribution Allocation_Report'!$A$9:$D$314,4,FALSE)*$O$326,0)</f>
        <v>7313</v>
      </c>
      <c r="Q293" s="220">
        <f>+VLOOKUP(A293,'Change in Proportion Layers'!$AL$8:$AQ$322,2,FALSE)+K293</f>
        <v>-137118</v>
      </c>
      <c r="R293" s="220">
        <f>+VLOOKUP(A293,'Change in Proportion Layers'!$AL$8:$AQ$322,3,FALSE)+L293</f>
        <v>-129752</v>
      </c>
      <c r="S293" s="220">
        <f>+VLOOKUP(A293,'Change in Proportion Layers'!$AL$8:$AQ$322,4,FALSE)+M293</f>
        <v>-113763</v>
      </c>
      <c r="T293" s="220">
        <f>+VLOOKUP(A293,'Change in Proportion Layers'!$AL$8:$AQ$322,5,FALSE)+N293</f>
        <v>-62900</v>
      </c>
      <c r="U293" s="220">
        <f>+VLOOKUP(A293,'Change in Proportion Layers'!$AL$8:$AQ$322,6,FALSE)+O293</f>
        <v>-4335</v>
      </c>
      <c r="W293" s="220">
        <f>('OPEB Amounts_Report'!H293-'OPEB Amounts_Report'!M293)</f>
        <v>-447868</v>
      </c>
      <c r="X293" s="245">
        <f t="shared" si="69"/>
        <v>0</v>
      </c>
    </row>
    <row r="294" spans="1:24" s="8" customFormat="1">
      <c r="A294" s="211">
        <v>3350</v>
      </c>
      <c r="B294" s="212" t="s">
        <v>274</v>
      </c>
      <c r="C294" s="276">
        <f t="shared" si="59"/>
        <v>-611761</v>
      </c>
      <c r="D294" s="276">
        <f t="shared" si="60"/>
        <v>-801849</v>
      </c>
      <c r="E294" s="276">
        <f t="shared" si="61"/>
        <v>-270170</v>
      </c>
      <c r="F294" s="276">
        <f t="shared" si="62"/>
        <v>-149105</v>
      </c>
      <c r="G294" s="276">
        <f t="shared" si="63"/>
        <v>106826</v>
      </c>
      <c r="I294" s="49"/>
      <c r="K294" s="220">
        <f>ROUND(VLOOKUP($A294,'Contribution Allocation_Report'!$A$9:$D$314,4,FALSE)*$K$326,0)</f>
        <v>-587510</v>
      </c>
      <c r="L294" s="220">
        <f>ROUND(VLOOKUP($A294,'Contribution Allocation_Report'!$A$9:$D$314,4,FALSE)*$L$326,0)</f>
        <v>-805768</v>
      </c>
      <c r="M294" s="220">
        <f>ROUND(VLOOKUP($A294,'Contribution Allocation_Report'!$A$9:$D$314,4,FALSE)*$M$326,0)</f>
        <v>-526837</v>
      </c>
      <c r="N294" s="220">
        <f>ROUND(VLOOKUP($A294,'Contribution Allocation_Report'!$A$9:$D$314,4,FALSE)*$N$326,0)</f>
        <v>-134757</v>
      </c>
      <c r="O294" s="220">
        <f>ROUND(VLOOKUP($A294,'Contribution Allocation_Report'!$A$9:$D$314,4,FALSE)*$O$326,0)</f>
        <v>58009</v>
      </c>
      <c r="Q294" s="220">
        <f>+VLOOKUP(A294,'Change in Proportion Layers'!$AL$8:$AQ$322,2,FALSE)+K294</f>
        <v>-611761</v>
      </c>
      <c r="R294" s="220">
        <f>+VLOOKUP(A294,'Change in Proportion Layers'!$AL$8:$AQ$322,3,FALSE)+L294</f>
        <v>-801849</v>
      </c>
      <c r="S294" s="220">
        <f>+VLOOKUP(A294,'Change in Proportion Layers'!$AL$8:$AQ$322,4,FALSE)+M294</f>
        <v>-270170</v>
      </c>
      <c r="T294" s="220">
        <f>+VLOOKUP(A294,'Change in Proportion Layers'!$AL$8:$AQ$322,5,FALSE)+N294</f>
        <v>-149105</v>
      </c>
      <c r="U294" s="220">
        <f>+VLOOKUP(A294,'Change in Proportion Layers'!$AL$8:$AQ$322,6,FALSE)+O294</f>
        <v>106826</v>
      </c>
      <c r="W294" s="220">
        <f>('OPEB Amounts_Report'!H294-'OPEB Amounts_Report'!M294)</f>
        <v>-1726059</v>
      </c>
      <c r="X294" s="245">
        <f t="shared" si="69"/>
        <v>0</v>
      </c>
    </row>
    <row r="295" spans="1:24" s="8" customFormat="1">
      <c r="A295" s="209">
        <v>24073</v>
      </c>
      <c r="B295" s="210" t="s">
        <v>275</v>
      </c>
      <c r="C295" s="219">
        <f t="shared" si="59"/>
        <v>-53502</v>
      </c>
      <c r="D295" s="219">
        <f t="shared" si="60"/>
        <v>-80363</v>
      </c>
      <c r="E295" s="219">
        <f t="shared" si="61"/>
        <v>-57620</v>
      </c>
      <c r="F295" s="219">
        <f t="shared" si="62"/>
        <v>-1893</v>
      </c>
      <c r="G295" s="219">
        <f t="shared" si="63"/>
        <v>6121</v>
      </c>
      <c r="I295" s="49"/>
      <c r="K295" s="220">
        <f>ROUND(VLOOKUP($A295,'Contribution Allocation_Report'!$A$9:$D$314,4,FALSE)*$K$326,0)</f>
        <v>-68066</v>
      </c>
      <c r="L295" s="220">
        <f>ROUND(VLOOKUP($A295,'Contribution Allocation_Report'!$A$9:$D$314,4,FALSE)*$L$326,0)</f>
        <v>-93352</v>
      </c>
      <c r="M295" s="220">
        <f>ROUND(VLOOKUP($A295,'Contribution Allocation_Report'!$A$9:$D$314,4,FALSE)*$M$326,0)</f>
        <v>-61036</v>
      </c>
      <c r="N295" s="220">
        <f>ROUND(VLOOKUP($A295,'Contribution Allocation_Report'!$A$9:$D$314,4,FALSE)*$N$326,0)</f>
        <v>-15612</v>
      </c>
      <c r="O295" s="220">
        <f>ROUND(VLOOKUP($A295,'Contribution Allocation_Report'!$A$9:$D$314,4,FALSE)*$O$326,0)</f>
        <v>6721</v>
      </c>
      <c r="Q295" s="220">
        <f>+VLOOKUP(A295,'Change in Proportion Layers'!$AL$8:$AQ$322,2,FALSE)+K295</f>
        <v>-53502</v>
      </c>
      <c r="R295" s="220">
        <f>+VLOOKUP(A295,'Change in Proportion Layers'!$AL$8:$AQ$322,3,FALSE)+L295</f>
        <v>-80363</v>
      </c>
      <c r="S295" s="220">
        <f>+VLOOKUP(A295,'Change in Proportion Layers'!$AL$8:$AQ$322,4,FALSE)+M295</f>
        <v>-57620</v>
      </c>
      <c r="T295" s="220">
        <f>+VLOOKUP(A295,'Change in Proportion Layers'!$AL$8:$AQ$322,5,FALSE)+N295</f>
        <v>-1893</v>
      </c>
      <c r="U295" s="220">
        <f>+VLOOKUP(A295,'Change in Proportion Layers'!$AL$8:$AQ$322,6,FALSE)+O295</f>
        <v>6121</v>
      </c>
      <c r="W295" s="220">
        <f>('OPEB Amounts_Report'!H295-'OPEB Amounts_Report'!M295)</f>
        <v>-187257</v>
      </c>
      <c r="X295" s="245">
        <f t="shared" si="69"/>
        <v>0</v>
      </c>
    </row>
    <row r="296" spans="1:24" s="8" customFormat="1">
      <c r="A296" s="211">
        <v>2100</v>
      </c>
      <c r="B296" s="212" t="s">
        <v>276</v>
      </c>
      <c r="C296" s="46">
        <f t="shared" si="59"/>
        <v>-98099</v>
      </c>
      <c r="D296" s="46">
        <f t="shared" si="60"/>
        <v>-129021</v>
      </c>
      <c r="E296" s="46">
        <f t="shared" si="61"/>
        <v>-92316</v>
      </c>
      <c r="F296" s="46">
        <f t="shared" si="62"/>
        <v>-48273</v>
      </c>
      <c r="G296" s="46">
        <f t="shared" si="63"/>
        <v>-7960</v>
      </c>
      <c r="I296" s="49"/>
      <c r="K296" s="220">
        <f>ROUND(VLOOKUP($A296,'Contribution Allocation_Report'!$A$9:$D$314,4,FALSE)*$K$326,0)</f>
        <v>-64551</v>
      </c>
      <c r="L296" s="220">
        <f>ROUND(VLOOKUP($A296,'Contribution Allocation_Report'!$A$9:$D$314,4,FALSE)*$L$326,0)</f>
        <v>-88531</v>
      </c>
      <c r="M296" s="220">
        <f>ROUND(VLOOKUP($A296,'Contribution Allocation_Report'!$A$9:$D$314,4,FALSE)*$M$326,0)</f>
        <v>-57884</v>
      </c>
      <c r="N296" s="220">
        <f>ROUND(VLOOKUP($A296,'Contribution Allocation_Report'!$A$9:$D$314,4,FALSE)*$N$326,0)</f>
        <v>-14806</v>
      </c>
      <c r="O296" s="220">
        <f>ROUND(VLOOKUP($A296,'Contribution Allocation_Report'!$A$9:$D$314,4,FALSE)*$O$326,0)</f>
        <v>6374</v>
      </c>
      <c r="Q296" s="220">
        <f>+VLOOKUP(A296,'Change in Proportion Layers'!$AL$8:$AQ$322,2,FALSE)+K296</f>
        <v>-98099</v>
      </c>
      <c r="R296" s="220">
        <f>+VLOOKUP(A296,'Change in Proportion Layers'!$AL$8:$AQ$322,3,FALSE)+L296</f>
        <v>-129021</v>
      </c>
      <c r="S296" s="220">
        <f>+VLOOKUP(A296,'Change in Proportion Layers'!$AL$8:$AQ$322,4,FALSE)+M296</f>
        <v>-92316</v>
      </c>
      <c r="T296" s="220">
        <f>+VLOOKUP(A296,'Change in Proportion Layers'!$AL$8:$AQ$322,5,FALSE)+N296</f>
        <v>-48273</v>
      </c>
      <c r="U296" s="220">
        <f>+VLOOKUP(A296,'Change in Proportion Layers'!$AL$8:$AQ$322,6,FALSE)+O296-1</f>
        <v>-7960</v>
      </c>
      <c r="W296" s="220">
        <f>('OPEB Amounts_Report'!H296-'OPEB Amounts_Report'!M296)</f>
        <v>-375669</v>
      </c>
      <c r="X296" s="245">
        <f t="shared" si="69"/>
        <v>0</v>
      </c>
    </row>
    <row r="297" spans="1:24" s="8" customFormat="1">
      <c r="A297" s="209">
        <v>2130</v>
      </c>
      <c r="B297" s="210" t="s">
        <v>277</v>
      </c>
      <c r="C297" s="219">
        <f t="shared" si="59"/>
        <v>-39336</v>
      </c>
      <c r="D297" s="219">
        <f t="shared" si="60"/>
        <v>-40733</v>
      </c>
      <c r="E297" s="219">
        <f t="shared" si="61"/>
        <v>-32831</v>
      </c>
      <c r="F297" s="219">
        <f t="shared" si="62"/>
        <v>-12612</v>
      </c>
      <c r="G297" s="219">
        <f t="shared" si="63"/>
        <v>6362</v>
      </c>
      <c r="I297" s="49"/>
      <c r="K297" s="220">
        <f>ROUND(VLOOKUP($A297,'Contribution Allocation_Report'!$A$9:$D$314,4,FALSE)*$K$326,0)</f>
        <v>-20833</v>
      </c>
      <c r="L297" s="220">
        <f>ROUND(VLOOKUP($A297,'Contribution Allocation_Report'!$A$9:$D$314,4,FALSE)*$L$326,0)</f>
        <v>-28572</v>
      </c>
      <c r="M297" s="220">
        <f>ROUND(VLOOKUP($A297,'Contribution Allocation_Report'!$A$9:$D$314,4,FALSE)*$M$326,0)</f>
        <v>-18681</v>
      </c>
      <c r="N297" s="220">
        <f>ROUND(VLOOKUP($A297,'Contribution Allocation_Report'!$A$9:$D$314,4,FALSE)*$N$326,0)</f>
        <v>-4778</v>
      </c>
      <c r="O297" s="220">
        <f>ROUND(VLOOKUP($A297,'Contribution Allocation_Report'!$A$9:$D$314,4,FALSE)*$O$326,0)</f>
        <v>2057</v>
      </c>
      <c r="Q297" s="220">
        <f>+VLOOKUP(A297,'Change in Proportion Layers'!$AL$8:$AQ$322,2,FALSE)+K297</f>
        <v>-39336</v>
      </c>
      <c r="R297" s="220">
        <f>+VLOOKUP(A297,'Change in Proportion Layers'!$AL$8:$AQ$322,3,FALSE)+L297</f>
        <v>-40733</v>
      </c>
      <c r="S297" s="220">
        <f>+VLOOKUP(A297,'Change in Proportion Layers'!$AL$8:$AQ$322,4,FALSE)+M297</f>
        <v>-32831</v>
      </c>
      <c r="T297" s="220">
        <f>+VLOOKUP(A297,'Change in Proportion Layers'!$AL$8:$AQ$322,5,FALSE)+N297</f>
        <v>-12612</v>
      </c>
      <c r="U297" s="220">
        <f>+VLOOKUP(A297,'Change in Proportion Layers'!$AL$8:$AQ$322,6,FALSE)+O297-1</f>
        <v>6362</v>
      </c>
      <c r="W297" s="220">
        <f>('OPEB Amounts_Report'!H297-'OPEB Amounts_Report'!M297)</f>
        <v>-119150</v>
      </c>
      <c r="X297" s="245">
        <f t="shared" si="69"/>
        <v>0</v>
      </c>
    </row>
    <row r="298" spans="1:24" s="8" customFormat="1">
      <c r="A298" s="211">
        <v>32099</v>
      </c>
      <c r="B298" s="212" t="s">
        <v>278</v>
      </c>
      <c r="C298" s="46">
        <f t="shared" si="59"/>
        <v>-40520</v>
      </c>
      <c r="D298" s="46">
        <f t="shared" si="60"/>
        <v>-32896</v>
      </c>
      <c r="E298" s="46">
        <f t="shared" si="61"/>
        <v>-23159</v>
      </c>
      <c r="F298" s="46">
        <f t="shared" si="62"/>
        <v>-12149</v>
      </c>
      <c r="G298" s="46">
        <f t="shared" si="63"/>
        <v>-2233</v>
      </c>
      <c r="I298" s="49"/>
      <c r="K298" s="220">
        <f>ROUND(VLOOKUP($A298,'Contribution Allocation_Report'!$A$9:$D$314,4,FALSE)*$K$326,0)</f>
        <v>-26257</v>
      </c>
      <c r="L298" s="220">
        <f>ROUND(VLOOKUP($A298,'Contribution Allocation_Report'!$A$9:$D$314,4,FALSE)*$L$326,0)</f>
        <v>-36012</v>
      </c>
      <c r="M298" s="220">
        <f>ROUND(VLOOKUP($A298,'Contribution Allocation_Report'!$A$9:$D$314,4,FALSE)*$M$326,0)</f>
        <v>-23546</v>
      </c>
      <c r="N298" s="220">
        <f>ROUND(VLOOKUP($A298,'Contribution Allocation_Report'!$A$9:$D$314,4,FALSE)*$N$326,0)</f>
        <v>-6023</v>
      </c>
      <c r="O298" s="220">
        <f>ROUND(VLOOKUP($A298,'Contribution Allocation_Report'!$A$9:$D$314,4,FALSE)*$O$326,0)</f>
        <v>2593</v>
      </c>
      <c r="Q298" s="220">
        <f>+VLOOKUP(A298,'Change in Proportion Layers'!$AL$8:$AQ$322,2,FALSE)+K298</f>
        <v>-40520</v>
      </c>
      <c r="R298" s="220">
        <f>+VLOOKUP(A298,'Change in Proportion Layers'!$AL$8:$AQ$322,3,FALSE)+L298</f>
        <v>-32896</v>
      </c>
      <c r="S298" s="220">
        <f>+VLOOKUP(A298,'Change in Proportion Layers'!$AL$8:$AQ$322,4,FALSE)+M298</f>
        <v>-23159</v>
      </c>
      <c r="T298" s="220">
        <f>+VLOOKUP(A298,'Change in Proportion Layers'!$AL$8:$AQ$322,5,FALSE)+N298</f>
        <v>-12149</v>
      </c>
      <c r="U298" s="220">
        <f>+VLOOKUP(A298,'Change in Proportion Layers'!$AL$8:$AQ$322,6,FALSE)+O298-1</f>
        <v>-2233</v>
      </c>
      <c r="W298" s="220">
        <f>('OPEB Amounts_Report'!H298-'OPEB Amounts_Report'!M298)</f>
        <v>-110957</v>
      </c>
      <c r="X298" s="245">
        <f t="shared" si="69"/>
        <v>0</v>
      </c>
    </row>
    <row r="299" spans="1:24" s="8" customFormat="1">
      <c r="A299" s="209">
        <v>32100</v>
      </c>
      <c r="B299" s="210" t="s">
        <v>279</v>
      </c>
      <c r="C299" s="219">
        <f t="shared" si="59"/>
        <v>-71826</v>
      </c>
      <c r="D299" s="219">
        <f t="shared" si="60"/>
        <v>-74866</v>
      </c>
      <c r="E299" s="219">
        <f t="shared" si="61"/>
        <v>-62756</v>
      </c>
      <c r="F299" s="219">
        <f t="shared" si="62"/>
        <v>-35585</v>
      </c>
      <c r="G299" s="219">
        <f t="shared" si="63"/>
        <v>-6424</v>
      </c>
      <c r="I299" s="49"/>
      <c r="K299" s="220">
        <f>ROUND(VLOOKUP($A299,'Contribution Allocation_Report'!$A$9:$D$314,4,FALSE)*$K$326,0)</f>
        <v>-50180</v>
      </c>
      <c r="L299" s="220">
        <f>ROUND(VLOOKUP($A299,'Contribution Allocation_Report'!$A$9:$D$314,4,FALSE)*$L$326,0)</f>
        <v>-68821</v>
      </c>
      <c r="M299" s="220">
        <f>ROUND(VLOOKUP($A299,'Contribution Allocation_Report'!$A$9:$D$314,4,FALSE)*$M$326,0)</f>
        <v>-44998</v>
      </c>
      <c r="N299" s="220">
        <f>ROUND(VLOOKUP($A299,'Contribution Allocation_Report'!$A$9:$D$314,4,FALSE)*$N$326,0)</f>
        <v>-11510</v>
      </c>
      <c r="O299" s="220">
        <f>ROUND(VLOOKUP($A299,'Contribution Allocation_Report'!$A$9:$D$314,4,FALSE)*$O$326,0)</f>
        <v>4955</v>
      </c>
      <c r="Q299" s="220">
        <f>+VLOOKUP(A299,'Change in Proportion Layers'!$AL$8:$AQ$322,2,FALSE)+K299</f>
        <v>-71826</v>
      </c>
      <c r="R299" s="220">
        <f>+VLOOKUP(A299,'Change in Proportion Layers'!$AL$8:$AQ$322,3,FALSE)+L299</f>
        <v>-74866</v>
      </c>
      <c r="S299" s="220">
        <f>+VLOOKUP(A299,'Change in Proportion Layers'!$AL$8:$AQ$322,4,FALSE)+M299</f>
        <v>-62756</v>
      </c>
      <c r="T299" s="220">
        <f>+VLOOKUP(A299,'Change in Proportion Layers'!$AL$8:$AQ$322,5,FALSE)+N299</f>
        <v>-35585</v>
      </c>
      <c r="U299" s="220">
        <f>+VLOOKUP(A299,'Change in Proportion Layers'!$AL$8:$AQ$322,6,FALSE)+O299</f>
        <v>-6424</v>
      </c>
      <c r="W299" s="220">
        <f>('OPEB Amounts_Report'!H299-'OPEB Amounts_Report'!M299)</f>
        <v>-251457</v>
      </c>
      <c r="X299" s="245">
        <f t="shared" si="69"/>
        <v>0</v>
      </c>
    </row>
    <row r="300" spans="1:24" s="8" customFormat="1">
      <c r="A300" s="211">
        <v>32101</v>
      </c>
      <c r="B300" s="212" t="s">
        <v>280</v>
      </c>
      <c r="C300" s="46">
        <f t="shared" si="59"/>
        <v>-22131</v>
      </c>
      <c r="D300" s="46">
        <f t="shared" si="60"/>
        <v>-27420</v>
      </c>
      <c r="E300" s="46">
        <f t="shared" si="61"/>
        <v>21105</v>
      </c>
      <c r="F300" s="46">
        <f t="shared" si="62"/>
        <v>-3755</v>
      </c>
      <c r="G300" s="46">
        <f t="shared" si="63"/>
        <v>-6240</v>
      </c>
      <c r="I300" s="49"/>
      <c r="K300" s="220">
        <f>ROUND(VLOOKUP($A300,'Contribution Allocation_Report'!$A$9:$D$314,4,FALSE)*$K$326,0)</f>
        <v>-17813</v>
      </c>
      <c r="L300" s="220">
        <f>ROUND(VLOOKUP($A300,'Contribution Allocation_Report'!$A$9:$D$314,4,FALSE)*$L$326,0)</f>
        <v>-24431</v>
      </c>
      <c r="M300" s="220">
        <f>ROUND(VLOOKUP($A300,'Contribution Allocation_Report'!$A$9:$D$314,4,FALSE)*$M$326,0)</f>
        <v>-15974</v>
      </c>
      <c r="N300" s="220">
        <f>ROUND(VLOOKUP($A300,'Contribution Allocation_Report'!$A$9:$D$314,4,FALSE)*$N$326,0)</f>
        <v>-4086</v>
      </c>
      <c r="O300" s="220">
        <f>ROUND(VLOOKUP($A300,'Contribution Allocation_Report'!$A$9:$D$314,4,FALSE)*$O$326,0)</f>
        <v>1759</v>
      </c>
      <c r="Q300" s="220">
        <f>+VLOOKUP(A300,'Change in Proportion Layers'!$AL$8:$AQ$322,2,FALSE)+K300</f>
        <v>-22131</v>
      </c>
      <c r="R300" s="220">
        <f>+VLOOKUP(A300,'Change in Proportion Layers'!$AL$8:$AQ$322,3,FALSE)+L300</f>
        <v>-27420</v>
      </c>
      <c r="S300" s="220">
        <f>+VLOOKUP(A300,'Change in Proportion Layers'!$AL$8:$AQ$322,4,FALSE)+M300</f>
        <v>21105</v>
      </c>
      <c r="T300" s="220">
        <f>+VLOOKUP(A300,'Change in Proportion Layers'!$AL$8:$AQ$322,5,FALSE)+N300</f>
        <v>-3755</v>
      </c>
      <c r="U300" s="220">
        <f>+VLOOKUP(A300,'Change in Proportion Layers'!$AL$8:$AQ$322,6,FALSE)+O300</f>
        <v>-6240</v>
      </c>
      <c r="W300" s="220">
        <f>('OPEB Amounts_Report'!H300-'OPEB Amounts_Report'!M300)</f>
        <v>-38441</v>
      </c>
      <c r="X300" s="245">
        <f t="shared" si="69"/>
        <v>0</v>
      </c>
    </row>
    <row r="301" spans="1:24" s="8" customFormat="1">
      <c r="A301" s="209">
        <v>32102</v>
      </c>
      <c r="B301" s="210" t="s">
        <v>281</v>
      </c>
      <c r="C301" s="219">
        <f t="shared" si="59"/>
        <v>-42523</v>
      </c>
      <c r="D301" s="219">
        <f t="shared" si="60"/>
        <v>-50104</v>
      </c>
      <c r="E301" s="219">
        <f t="shared" si="61"/>
        <v>-39642</v>
      </c>
      <c r="F301" s="219">
        <f t="shared" si="62"/>
        <v>-15403</v>
      </c>
      <c r="G301" s="219">
        <f t="shared" si="63"/>
        <v>328</v>
      </c>
      <c r="I301" s="49"/>
      <c r="K301" s="220">
        <f>ROUND(VLOOKUP($A301,'Contribution Allocation_Report'!$A$9:$D$314,4,FALSE)*$K$326,0)</f>
        <v>-29022</v>
      </c>
      <c r="L301" s="220">
        <f>ROUND(VLOOKUP($A301,'Contribution Allocation_Report'!$A$9:$D$314,4,FALSE)*$L$326,0)</f>
        <v>-39804</v>
      </c>
      <c r="M301" s="220">
        <f>ROUND(VLOOKUP($A301,'Contribution Allocation_Report'!$A$9:$D$314,4,FALSE)*$M$326,0)</f>
        <v>-26025</v>
      </c>
      <c r="N301" s="220">
        <f>ROUND(VLOOKUP($A301,'Contribution Allocation_Report'!$A$9:$D$314,4,FALSE)*$N$326,0)</f>
        <v>-6657</v>
      </c>
      <c r="O301" s="220">
        <f>ROUND(VLOOKUP($A301,'Contribution Allocation_Report'!$A$9:$D$314,4,FALSE)*$O$326,0)</f>
        <v>2866</v>
      </c>
      <c r="Q301" s="220">
        <f>+VLOOKUP(A301,'Change in Proportion Layers'!$AL$8:$AQ$322,2,FALSE)+K301</f>
        <v>-42523</v>
      </c>
      <c r="R301" s="220">
        <f>+VLOOKUP(A301,'Change in Proportion Layers'!$AL$8:$AQ$322,3,FALSE)+L301</f>
        <v>-50104</v>
      </c>
      <c r="S301" s="220">
        <f>+VLOOKUP(A301,'Change in Proportion Layers'!$AL$8:$AQ$322,4,FALSE)+M301</f>
        <v>-39642</v>
      </c>
      <c r="T301" s="220">
        <f>+VLOOKUP(A301,'Change in Proportion Layers'!$AL$8:$AQ$322,5,FALSE)+N301</f>
        <v>-15403</v>
      </c>
      <c r="U301" s="220">
        <f>+VLOOKUP(A301,'Change in Proportion Layers'!$AL$8:$AQ$322,6,FALSE)+O301-1</f>
        <v>328</v>
      </c>
      <c r="W301" s="220">
        <f>('OPEB Amounts_Report'!H301-'OPEB Amounts_Report'!M301)</f>
        <v>-147344</v>
      </c>
      <c r="X301" s="245">
        <f t="shared" si="69"/>
        <v>0</v>
      </c>
    </row>
    <row r="302" spans="1:24" s="162" customFormat="1">
      <c r="A302" s="211">
        <v>2880</v>
      </c>
      <c r="B302" s="212" t="s">
        <v>282</v>
      </c>
      <c r="C302" s="46">
        <f t="shared" ref="C302:C324" si="70">+Q302</f>
        <v>-9684</v>
      </c>
      <c r="D302" s="46">
        <f t="shared" ref="D302:D324" si="71">+R302</f>
        <v>-13357</v>
      </c>
      <c r="E302" s="46">
        <f t="shared" ref="E302:E324" si="72">+S302</f>
        <v>-13374</v>
      </c>
      <c r="F302" s="46">
        <f t="shared" ref="F302:F324" si="73">+T302</f>
        <v>-2322</v>
      </c>
      <c r="G302" s="46">
        <f t="shared" ref="G302:G324" si="74">+U302</f>
        <v>1173</v>
      </c>
      <c r="I302" s="49"/>
      <c r="K302" s="220">
        <f>ROUND(VLOOKUP($A302,'Contribution Allocation_Report'!$A$9:$D$314,4,FALSE)*$K$326,0)</f>
        <v>-10049</v>
      </c>
      <c r="L302" s="220">
        <f>ROUND(VLOOKUP($A302,'Contribution Allocation_Report'!$A$9:$D$314,4,FALSE)*$L$326,0)</f>
        <v>-13782</v>
      </c>
      <c r="M302" s="220">
        <f>ROUND(VLOOKUP($A302,'Contribution Allocation_Report'!$A$9:$D$314,4,FALSE)*$M$326,0)</f>
        <v>-9011</v>
      </c>
      <c r="N302" s="220">
        <f>ROUND(VLOOKUP($A302,'Contribution Allocation_Report'!$A$9:$D$314,4,FALSE)*$N$326,0)</f>
        <v>-2305</v>
      </c>
      <c r="O302" s="220">
        <f>ROUND(VLOOKUP($A302,'Contribution Allocation_Report'!$A$9:$D$314,4,FALSE)*$O$326,0)</f>
        <v>992</v>
      </c>
      <c r="Q302" s="220">
        <f>+VLOOKUP(A302,'Change in Proportion Layers'!$AL$8:$AQ$322,2,FALSE)+K302</f>
        <v>-9684</v>
      </c>
      <c r="R302" s="220">
        <f>+VLOOKUP(A302,'Change in Proportion Layers'!$AL$8:$AQ$322,3,FALSE)+L302</f>
        <v>-13357</v>
      </c>
      <c r="S302" s="220">
        <f>+VLOOKUP(A302,'Change in Proportion Layers'!$AL$8:$AQ$322,4,FALSE)+M302</f>
        <v>-13374</v>
      </c>
      <c r="T302" s="220">
        <f>+VLOOKUP(A302,'Change in Proportion Layers'!$AL$8:$AQ$322,5,FALSE)+N302</f>
        <v>-2322</v>
      </c>
      <c r="U302" s="220">
        <f>+VLOOKUP(A302,'Change in Proportion Layers'!$AL$8:$AQ$322,6,FALSE)+O302-1</f>
        <v>1173</v>
      </c>
      <c r="W302" s="220">
        <f>('OPEB Amounts_Report'!H302-'OPEB Amounts_Report'!M302)</f>
        <v>-37564</v>
      </c>
      <c r="X302" s="245">
        <f t="shared" si="69"/>
        <v>0</v>
      </c>
    </row>
    <row r="303" spans="1:24" s="162" customFormat="1">
      <c r="A303" s="209">
        <v>2490</v>
      </c>
      <c r="B303" s="210" t="s">
        <v>283</v>
      </c>
      <c r="C303" s="219">
        <f t="shared" si="70"/>
        <v>-112416</v>
      </c>
      <c r="D303" s="219">
        <f t="shared" si="71"/>
        <v>-104663</v>
      </c>
      <c r="E303" s="219">
        <f t="shared" si="72"/>
        <v>-67049</v>
      </c>
      <c r="F303" s="219">
        <f t="shared" si="73"/>
        <v>-3280</v>
      </c>
      <c r="G303" s="219">
        <f t="shared" si="74"/>
        <v>10422</v>
      </c>
      <c r="I303" s="49"/>
      <c r="K303" s="220">
        <f>ROUND(VLOOKUP($A303,'Contribution Allocation_Report'!$A$9:$D$314,4,FALSE)*$K$326,0)</f>
        <v>-82048</v>
      </c>
      <c r="L303" s="220">
        <f>ROUND(VLOOKUP($A303,'Contribution Allocation_Report'!$A$9:$D$314,4,FALSE)*$L$326,0)</f>
        <v>-112529</v>
      </c>
      <c r="M303" s="220">
        <f>ROUND(VLOOKUP($A303,'Contribution Allocation_Report'!$A$9:$D$314,4,FALSE)*$M$326,0)</f>
        <v>-73575</v>
      </c>
      <c r="N303" s="220">
        <f>ROUND(VLOOKUP($A303,'Contribution Allocation_Report'!$A$9:$D$314,4,FALSE)*$N$326,0)</f>
        <v>-18819</v>
      </c>
      <c r="O303" s="220">
        <f>ROUND(VLOOKUP($A303,'Contribution Allocation_Report'!$A$9:$D$314,4,FALSE)*$O$326,0)</f>
        <v>8101</v>
      </c>
      <c r="Q303" s="220">
        <f>+VLOOKUP(A303,'Change in Proportion Layers'!$AL$8:$AQ$322,2,FALSE)+K303</f>
        <v>-112416</v>
      </c>
      <c r="R303" s="220">
        <f>+VLOOKUP(A303,'Change in Proportion Layers'!$AL$8:$AQ$322,3,FALSE)+L303</f>
        <v>-104663</v>
      </c>
      <c r="S303" s="220">
        <f>+VLOOKUP(A303,'Change in Proportion Layers'!$AL$8:$AQ$322,4,FALSE)+M303</f>
        <v>-67049</v>
      </c>
      <c r="T303" s="220">
        <f>+VLOOKUP(A303,'Change in Proportion Layers'!$AL$8:$AQ$322,5,FALSE)+N303</f>
        <v>-3280</v>
      </c>
      <c r="U303" s="220">
        <f>+VLOOKUP(A303,'Change in Proportion Layers'!$AL$8:$AQ$322,6,FALSE)+O303-1</f>
        <v>10422</v>
      </c>
      <c r="W303" s="220">
        <f>('OPEB Amounts_Report'!H303-'OPEB Amounts_Report'!M303)</f>
        <v>-276986</v>
      </c>
      <c r="X303" s="245">
        <f t="shared" si="69"/>
        <v>0</v>
      </c>
    </row>
    <row r="304" spans="1:24" s="162" customFormat="1">
      <c r="A304" s="211">
        <v>2530</v>
      </c>
      <c r="B304" s="212" t="s">
        <v>284</v>
      </c>
      <c r="C304" s="46">
        <f t="shared" si="70"/>
        <v>-36757</v>
      </c>
      <c r="D304" s="46">
        <f t="shared" si="71"/>
        <v>-35195</v>
      </c>
      <c r="E304" s="46">
        <f t="shared" si="72"/>
        <v>2312</v>
      </c>
      <c r="F304" s="46">
        <f t="shared" si="73"/>
        <v>-5372</v>
      </c>
      <c r="G304" s="46">
        <f t="shared" si="74"/>
        <v>3419</v>
      </c>
      <c r="I304" s="49"/>
      <c r="K304" s="220">
        <f>ROUND(VLOOKUP($A304,'Contribution Allocation_Report'!$A$9:$D$314,4,FALSE)*$K$326,0)</f>
        <v>-15474</v>
      </c>
      <c r="L304" s="220">
        <f>ROUND(VLOOKUP($A304,'Contribution Allocation_Report'!$A$9:$D$314,4,FALSE)*$L$326,0)</f>
        <v>-21222</v>
      </c>
      <c r="M304" s="220">
        <f>ROUND(VLOOKUP($A304,'Contribution Allocation_Report'!$A$9:$D$314,4,FALSE)*$M$326,0)</f>
        <v>-13876</v>
      </c>
      <c r="N304" s="220">
        <f>ROUND(VLOOKUP($A304,'Contribution Allocation_Report'!$A$9:$D$314,4,FALSE)*$N$326,0)</f>
        <v>-3549</v>
      </c>
      <c r="O304" s="220">
        <f>ROUND(VLOOKUP($A304,'Contribution Allocation_Report'!$A$9:$D$314,4,FALSE)*$O$326,0)</f>
        <v>1528</v>
      </c>
      <c r="Q304" s="220">
        <f>+VLOOKUP(A304,'Change in Proportion Layers'!$AL$8:$AQ$322,2,FALSE)+K304</f>
        <v>-36757</v>
      </c>
      <c r="R304" s="220">
        <f>+VLOOKUP(A304,'Change in Proportion Layers'!$AL$8:$AQ$322,3,FALSE)+L304</f>
        <v>-35195</v>
      </c>
      <c r="S304" s="220">
        <f>+VLOOKUP(A304,'Change in Proportion Layers'!$AL$8:$AQ$322,4,FALSE)+M304</f>
        <v>2312</v>
      </c>
      <c r="T304" s="220">
        <f>+VLOOKUP(A304,'Change in Proportion Layers'!$AL$8:$AQ$322,5,FALSE)+N304</f>
        <v>-5372</v>
      </c>
      <c r="U304" s="220">
        <f>+VLOOKUP(A304,'Change in Proportion Layers'!$AL$8:$AQ$322,6,FALSE)+O304</f>
        <v>3419</v>
      </c>
      <c r="W304" s="220">
        <f>('OPEB Amounts_Report'!H304-'OPEB Amounts_Report'!M304)</f>
        <v>-71593</v>
      </c>
      <c r="X304" s="245">
        <f t="shared" si="69"/>
        <v>0</v>
      </c>
    </row>
    <row r="305" spans="1:24" s="162" customFormat="1">
      <c r="A305" s="209">
        <v>2560</v>
      </c>
      <c r="B305" s="210" t="s">
        <v>285</v>
      </c>
      <c r="C305" s="219">
        <f t="shared" si="70"/>
        <v>-30286</v>
      </c>
      <c r="D305" s="219">
        <f t="shared" si="71"/>
        <v>-38584</v>
      </c>
      <c r="E305" s="219">
        <f t="shared" si="72"/>
        <v>-573</v>
      </c>
      <c r="F305" s="219">
        <f t="shared" si="73"/>
        <v>24903</v>
      </c>
      <c r="G305" s="219">
        <f t="shared" si="74"/>
        <v>22968</v>
      </c>
      <c r="I305" s="49"/>
      <c r="K305" s="220">
        <f>ROUND(VLOOKUP($A305,'Contribution Allocation_Report'!$A$9:$D$314,4,FALSE)*$K$326,0)</f>
        <v>-43470</v>
      </c>
      <c r="L305" s="220">
        <f>ROUND(VLOOKUP($A305,'Contribution Allocation_Report'!$A$9:$D$314,4,FALSE)*$L$326,0)</f>
        <v>-59619</v>
      </c>
      <c r="M305" s="220">
        <f>ROUND(VLOOKUP($A305,'Contribution Allocation_Report'!$A$9:$D$314,4,FALSE)*$M$326,0)</f>
        <v>-38981</v>
      </c>
      <c r="N305" s="220">
        <f>ROUND(VLOOKUP($A305,'Contribution Allocation_Report'!$A$9:$D$314,4,FALSE)*$N$326,0)</f>
        <v>-9971</v>
      </c>
      <c r="O305" s="220">
        <f>ROUND(VLOOKUP($A305,'Contribution Allocation_Report'!$A$9:$D$314,4,FALSE)*$O$326,0)</f>
        <v>4292</v>
      </c>
      <c r="Q305" s="220">
        <f>+VLOOKUP(A305,'Change in Proportion Layers'!$AL$8:$AQ$322,2,FALSE)+K305</f>
        <v>-30286</v>
      </c>
      <c r="R305" s="220">
        <f>+VLOOKUP(A305,'Change in Proportion Layers'!$AL$8:$AQ$322,3,FALSE)+L305</f>
        <v>-38584</v>
      </c>
      <c r="S305" s="220">
        <f>+VLOOKUP(A305,'Change in Proportion Layers'!$AL$8:$AQ$322,4,FALSE)+M305</f>
        <v>-573</v>
      </c>
      <c r="T305" s="220">
        <f>+VLOOKUP(A305,'Change in Proportion Layers'!$AL$8:$AQ$322,5,FALSE)+N305</f>
        <v>24903</v>
      </c>
      <c r="U305" s="220">
        <f>+VLOOKUP(A305,'Change in Proportion Layers'!$AL$8:$AQ$322,6,FALSE)+O305</f>
        <v>22968</v>
      </c>
      <c r="W305" s="220">
        <f>('OPEB Amounts_Report'!H305-'OPEB Amounts_Report'!M305)</f>
        <v>-21572</v>
      </c>
      <c r="X305" s="245">
        <f t="shared" si="69"/>
        <v>0</v>
      </c>
    </row>
    <row r="306" spans="1:24" s="162" customFormat="1">
      <c r="A306" s="211">
        <v>2610</v>
      </c>
      <c r="B306" s="212" t="s">
        <v>286</v>
      </c>
      <c r="C306" s="46">
        <f t="shared" si="70"/>
        <v>-14038</v>
      </c>
      <c r="D306" s="46">
        <f t="shared" si="71"/>
        <v>-13827</v>
      </c>
      <c r="E306" s="46">
        <f t="shared" si="72"/>
        <v>-10078</v>
      </c>
      <c r="F306" s="46">
        <f t="shared" si="73"/>
        <v>-1114</v>
      </c>
      <c r="G306" s="46">
        <f t="shared" si="74"/>
        <v>203</v>
      </c>
      <c r="I306" s="49"/>
      <c r="K306" s="220">
        <f>ROUND(VLOOKUP($A306,'Contribution Allocation_Report'!$A$9:$D$314,4,FALSE)*$K$326,0)</f>
        <v>-8676</v>
      </c>
      <c r="L306" s="220">
        <f>ROUND(VLOOKUP($A306,'Contribution Allocation_Report'!$A$9:$D$314,4,FALSE)*$L$326,0)</f>
        <v>-11900</v>
      </c>
      <c r="M306" s="220">
        <f>ROUND(VLOOKUP($A306,'Contribution Allocation_Report'!$A$9:$D$314,4,FALSE)*$M$326,0)</f>
        <v>-7780</v>
      </c>
      <c r="N306" s="220">
        <f>ROUND(VLOOKUP($A306,'Contribution Allocation_Report'!$A$9:$D$314,4,FALSE)*$N$326,0)</f>
        <v>-1990</v>
      </c>
      <c r="O306" s="220">
        <f>ROUND(VLOOKUP($A306,'Contribution Allocation_Report'!$A$9:$D$314,4,FALSE)*$O$326,0)</f>
        <v>857</v>
      </c>
      <c r="Q306" s="220">
        <f>+VLOOKUP(A306,'Change in Proportion Layers'!$AL$8:$AQ$322,2,FALSE)+K306</f>
        <v>-14038</v>
      </c>
      <c r="R306" s="220">
        <f>+VLOOKUP(A306,'Change in Proportion Layers'!$AL$8:$AQ$322,3,FALSE)+L306</f>
        <v>-13827</v>
      </c>
      <c r="S306" s="220">
        <f>+VLOOKUP(A306,'Change in Proportion Layers'!$AL$8:$AQ$322,4,FALSE)+M306</f>
        <v>-10078</v>
      </c>
      <c r="T306" s="220">
        <f>+VLOOKUP(A306,'Change in Proportion Layers'!$AL$8:$AQ$322,5,FALSE)+N306</f>
        <v>-1114</v>
      </c>
      <c r="U306" s="220">
        <f>+VLOOKUP(A306,'Change in Proportion Layers'!$AL$8:$AQ$322,6,FALSE)+O306</f>
        <v>203</v>
      </c>
      <c r="W306" s="220">
        <f>('OPEB Amounts_Report'!H306-'OPEB Amounts_Report'!M306)</f>
        <v>-38854</v>
      </c>
      <c r="X306" s="245">
        <f t="shared" si="69"/>
        <v>0</v>
      </c>
    </row>
    <row r="307" spans="1:24" s="162" customFormat="1">
      <c r="A307" s="209">
        <v>2800</v>
      </c>
      <c r="B307" s="210" t="s">
        <v>287</v>
      </c>
      <c r="C307" s="219">
        <f t="shared" si="70"/>
        <v>-3198</v>
      </c>
      <c r="D307" s="219">
        <f t="shared" si="71"/>
        <v>-27804</v>
      </c>
      <c r="E307" s="219">
        <f t="shared" si="72"/>
        <v>-18946</v>
      </c>
      <c r="F307" s="219">
        <f t="shared" si="73"/>
        <v>-4909</v>
      </c>
      <c r="G307" s="219">
        <f t="shared" si="74"/>
        <v>-1928</v>
      </c>
      <c r="I307" s="49"/>
      <c r="K307" s="220">
        <f>ROUND(VLOOKUP($A307,'Contribution Allocation_Report'!$A$9:$D$314,4,FALSE)*$K$326,0)</f>
        <v>-25964</v>
      </c>
      <c r="L307" s="220">
        <f>ROUND(VLOOKUP($A307,'Contribution Allocation_Report'!$A$9:$D$314,4,FALSE)*$L$326,0)</f>
        <v>-35609</v>
      </c>
      <c r="M307" s="220">
        <f>ROUND(VLOOKUP($A307,'Contribution Allocation_Report'!$A$9:$D$314,4,FALSE)*$M$326,0)</f>
        <v>-23282</v>
      </c>
      <c r="N307" s="220">
        <f>ROUND(VLOOKUP($A307,'Contribution Allocation_Report'!$A$9:$D$314,4,FALSE)*$N$326,0)</f>
        <v>-5955</v>
      </c>
      <c r="O307" s="220">
        <f>ROUND(VLOOKUP($A307,'Contribution Allocation_Report'!$A$9:$D$314,4,FALSE)*$O$326,0)</f>
        <v>2564</v>
      </c>
      <c r="Q307" s="220">
        <f>+VLOOKUP(A307,'Change in Proportion Layers'!$AL$8:$AQ$322,2,FALSE)+K307</f>
        <v>-3198</v>
      </c>
      <c r="R307" s="220">
        <f>+VLOOKUP(A307,'Change in Proportion Layers'!$AL$8:$AQ$322,3,FALSE)+L307</f>
        <v>-27804</v>
      </c>
      <c r="S307" s="220">
        <f>+VLOOKUP(A307,'Change in Proportion Layers'!$AL$8:$AQ$322,4,FALSE)+M307</f>
        <v>-18946</v>
      </c>
      <c r="T307" s="220">
        <f>+VLOOKUP(A307,'Change in Proportion Layers'!$AL$8:$AQ$322,5,FALSE)+N307</f>
        <v>-4909</v>
      </c>
      <c r="U307" s="220">
        <f>+VLOOKUP(A307,'Change in Proportion Layers'!$AL$8:$AQ$322,6,FALSE)+O307-2</f>
        <v>-1928</v>
      </c>
      <c r="W307" s="220">
        <f>('OPEB Amounts_Report'!H307-'OPEB Amounts_Report'!M307)</f>
        <v>-56785</v>
      </c>
      <c r="X307" s="245">
        <f t="shared" si="69"/>
        <v>0</v>
      </c>
    </row>
    <row r="308" spans="1:24" s="162" customFormat="1">
      <c r="A308" s="211">
        <v>20317</v>
      </c>
      <c r="B308" s="212" t="s">
        <v>288</v>
      </c>
      <c r="C308" s="46">
        <f t="shared" si="70"/>
        <v>-34907</v>
      </c>
      <c r="D308" s="46">
        <f t="shared" si="71"/>
        <v>-75190</v>
      </c>
      <c r="E308" s="46">
        <f t="shared" si="72"/>
        <v>-28373</v>
      </c>
      <c r="F308" s="46">
        <f t="shared" si="73"/>
        <v>-25652</v>
      </c>
      <c r="G308" s="46">
        <f t="shared" si="74"/>
        <v>-14318</v>
      </c>
      <c r="I308" s="49"/>
      <c r="K308" s="220">
        <f>ROUND(VLOOKUP($A308,'Contribution Allocation_Report'!$A$9:$D$314,4,FALSE)*$K$326,0)</f>
        <v>-43231</v>
      </c>
      <c r="L308" s="220">
        <f>ROUND(VLOOKUP($A308,'Contribution Allocation_Report'!$A$9:$D$314,4,FALSE)*$L$326,0)</f>
        <v>-59291</v>
      </c>
      <c r="M308" s="220">
        <f>ROUND(VLOOKUP($A308,'Contribution Allocation_Report'!$A$9:$D$314,4,FALSE)*$M$326,0)</f>
        <v>-38767</v>
      </c>
      <c r="N308" s="220">
        <f>ROUND(VLOOKUP($A308,'Contribution Allocation_Report'!$A$9:$D$314,4,FALSE)*$N$326,0)</f>
        <v>-9916</v>
      </c>
      <c r="O308" s="220">
        <f>ROUND(VLOOKUP($A308,'Contribution Allocation_Report'!$A$9:$D$314,4,FALSE)*$O$326,0)</f>
        <v>4269</v>
      </c>
      <c r="Q308" s="220">
        <f>+VLOOKUP(A308,'Change in Proportion Layers'!$AL$8:$AQ$322,2,FALSE)+K308</f>
        <v>-34907</v>
      </c>
      <c r="R308" s="220">
        <f>+VLOOKUP(A308,'Change in Proportion Layers'!$AL$8:$AQ$322,3,FALSE)+L308</f>
        <v>-75190</v>
      </c>
      <c r="S308" s="220">
        <f>+VLOOKUP(A308,'Change in Proportion Layers'!$AL$8:$AQ$322,4,FALSE)+M308</f>
        <v>-28373</v>
      </c>
      <c r="T308" s="220">
        <f>+VLOOKUP(A308,'Change in Proportion Layers'!$AL$8:$AQ$322,5,FALSE)+N308</f>
        <v>-25652</v>
      </c>
      <c r="U308" s="220">
        <f>+VLOOKUP(A308,'Change in Proportion Layers'!$AL$8:$AQ$322,6,FALSE)+O308</f>
        <v>-14318</v>
      </c>
      <c r="W308" s="220">
        <f>('OPEB Amounts_Report'!H308-'OPEB Amounts_Report'!M308)</f>
        <v>-178440</v>
      </c>
      <c r="X308" s="245">
        <f t="shared" si="69"/>
        <v>0</v>
      </c>
    </row>
    <row r="309" spans="1:24" s="192" customFormat="1">
      <c r="A309" s="209">
        <v>2442</v>
      </c>
      <c r="B309" s="210" t="s">
        <v>426</v>
      </c>
      <c r="C309" s="219">
        <f t="shared" ref="C309" si="75">+Q309</f>
        <v>54256</v>
      </c>
      <c r="D309" s="219">
        <f t="shared" ref="D309" si="76">+R309</f>
        <v>39061</v>
      </c>
      <c r="E309" s="219">
        <f t="shared" ref="E309" si="77">+S309</f>
        <v>41483</v>
      </c>
      <c r="F309" s="219">
        <f t="shared" ref="F309" si="78">+T309</f>
        <v>38082</v>
      </c>
      <c r="G309" s="219">
        <f t="shared" ref="G309" si="79">+U309</f>
        <v>30886</v>
      </c>
      <c r="I309" s="221"/>
      <c r="K309" s="220">
        <f>ROUND(VLOOKUP($A309,'Contribution Allocation_Report'!$A$9:$D$314,4,FALSE)*$K$326,0)</f>
        <v>-40179</v>
      </c>
      <c r="L309" s="220">
        <f>ROUND(VLOOKUP($A309,'Contribution Allocation_Report'!$A$9:$D$314,4,FALSE)*$L$326,0)</f>
        <v>-55105</v>
      </c>
      <c r="M309" s="220">
        <f>ROUND(VLOOKUP($A309,'Contribution Allocation_Report'!$A$9:$D$314,4,FALSE)*$M$326,0)</f>
        <v>-36030</v>
      </c>
      <c r="N309" s="220">
        <f>ROUND(VLOOKUP($A309,'Contribution Allocation_Report'!$A$9:$D$314,4,FALSE)*$N$326,0)</f>
        <v>-9216</v>
      </c>
      <c r="O309" s="220">
        <f>ROUND(VLOOKUP($A309,'Contribution Allocation_Report'!$A$9:$D$314,4,FALSE)*$O$326,0)</f>
        <v>3967</v>
      </c>
      <c r="Q309" s="220">
        <f>+VLOOKUP(A309,'Change in Proportion Layers'!$AL$8:$AQ$322,2,FALSE)+K309</f>
        <v>54256</v>
      </c>
      <c r="R309" s="220">
        <f>+VLOOKUP(A309,'Change in Proportion Layers'!$AL$8:$AQ$322,3,FALSE)+L309</f>
        <v>39061</v>
      </c>
      <c r="S309" s="220">
        <f>+VLOOKUP(A309,'Change in Proportion Layers'!$AL$8:$AQ$322,4,FALSE)+M309</f>
        <v>41483</v>
      </c>
      <c r="T309" s="220">
        <f>+VLOOKUP(A309,'Change in Proportion Layers'!$AL$8:$AQ$322,5,FALSE)+N309</f>
        <v>38082</v>
      </c>
      <c r="U309" s="220">
        <f>+VLOOKUP(A309,'Change in Proportion Layers'!$AL$8:$AQ$322,6,FALSE)+O309-1</f>
        <v>30886</v>
      </c>
      <c r="W309" s="220">
        <f>('OPEB Amounts_Report'!H309-'OPEB Amounts_Report'!M309)</f>
        <v>203768</v>
      </c>
      <c r="X309" s="245">
        <f t="shared" si="69"/>
        <v>0</v>
      </c>
    </row>
    <row r="310" spans="1:24" s="162" customFormat="1">
      <c r="A310" s="211">
        <v>30090</v>
      </c>
      <c r="B310" s="212" t="s">
        <v>289</v>
      </c>
      <c r="C310" s="46">
        <f t="shared" si="70"/>
        <v>-60647</v>
      </c>
      <c r="D310" s="46">
        <f t="shared" si="71"/>
        <v>-106757</v>
      </c>
      <c r="E310" s="46">
        <f t="shared" si="72"/>
        <v>-96112</v>
      </c>
      <c r="F310" s="46">
        <f t="shared" si="73"/>
        <v>-13136</v>
      </c>
      <c r="G310" s="46">
        <f t="shared" si="74"/>
        <v>-515</v>
      </c>
      <c r="I310" s="49"/>
      <c r="K310" s="220">
        <f>ROUND(VLOOKUP($A310,'Contribution Allocation_Report'!$A$9:$D$314,4,FALSE)*$K$326,0)</f>
        <v>-78042</v>
      </c>
      <c r="L310" s="220">
        <f>ROUND(VLOOKUP($A310,'Contribution Allocation_Report'!$A$9:$D$314,4,FALSE)*$L$326,0)</f>
        <v>-107035</v>
      </c>
      <c r="M310" s="220">
        <f>ROUND(VLOOKUP($A310,'Contribution Allocation_Report'!$A$9:$D$314,4,FALSE)*$M$326,0)</f>
        <v>-69983</v>
      </c>
      <c r="N310" s="220">
        <f>ROUND(VLOOKUP($A310,'Contribution Allocation_Report'!$A$9:$D$314,4,FALSE)*$N$326,0)</f>
        <v>-17901</v>
      </c>
      <c r="O310" s="220">
        <f>ROUND(VLOOKUP($A310,'Contribution Allocation_Report'!$A$9:$D$314,4,FALSE)*$O$326,0)</f>
        <v>7706</v>
      </c>
      <c r="Q310" s="220">
        <f>+VLOOKUP(A310,'Change in Proportion Layers'!$AL$8:$AQ$322,2,FALSE)+K310</f>
        <v>-60647</v>
      </c>
      <c r="R310" s="220">
        <f>+VLOOKUP(A310,'Change in Proportion Layers'!$AL$8:$AQ$322,3,FALSE)+L310</f>
        <v>-106757</v>
      </c>
      <c r="S310" s="220">
        <f>+VLOOKUP(A310,'Change in Proportion Layers'!$AL$8:$AQ$322,4,FALSE)+M310</f>
        <v>-96112</v>
      </c>
      <c r="T310" s="220">
        <f>+VLOOKUP(A310,'Change in Proportion Layers'!$AL$8:$AQ$322,5,FALSE)+N310</f>
        <v>-13136</v>
      </c>
      <c r="U310" s="220">
        <f>+VLOOKUP(A310,'Change in Proportion Layers'!$AL$8:$AQ$322,6,FALSE)+O310+1</f>
        <v>-515</v>
      </c>
      <c r="W310" s="220">
        <f>('OPEB Amounts_Report'!H310-'OPEB Amounts_Report'!M310)</f>
        <v>-277167</v>
      </c>
      <c r="X310" s="245">
        <f t="shared" si="69"/>
        <v>0</v>
      </c>
    </row>
    <row r="311" spans="1:24" s="162" customFormat="1">
      <c r="A311" s="209">
        <v>29330</v>
      </c>
      <c r="B311" s="210" t="s">
        <v>290</v>
      </c>
      <c r="C311" s="219">
        <f t="shared" si="70"/>
        <v>-34122</v>
      </c>
      <c r="D311" s="219">
        <f t="shared" si="71"/>
        <v>-46843</v>
      </c>
      <c r="E311" s="219">
        <f t="shared" si="72"/>
        <v>-18864</v>
      </c>
      <c r="F311" s="219">
        <f t="shared" si="73"/>
        <v>4244</v>
      </c>
      <c r="G311" s="219">
        <f t="shared" si="74"/>
        <v>6403</v>
      </c>
      <c r="I311" s="49"/>
      <c r="K311" s="220">
        <f>ROUND(VLOOKUP($A311,'Contribution Allocation_Report'!$A$9:$D$314,4,FALSE)*$K$326,0)</f>
        <v>-39074</v>
      </c>
      <c r="L311" s="220">
        <f>ROUND(VLOOKUP($A311,'Contribution Allocation_Report'!$A$9:$D$314,4,FALSE)*$L$326,0)</f>
        <v>-53590</v>
      </c>
      <c r="M311" s="220">
        <f>ROUND(VLOOKUP($A311,'Contribution Allocation_Report'!$A$9:$D$314,4,FALSE)*$M$326,0)</f>
        <v>-35039</v>
      </c>
      <c r="N311" s="220">
        <f>ROUND(VLOOKUP($A311,'Contribution Allocation_Report'!$A$9:$D$314,4,FALSE)*$N$326,0)</f>
        <v>-8962</v>
      </c>
      <c r="O311" s="220">
        <f>ROUND(VLOOKUP($A311,'Contribution Allocation_Report'!$A$9:$D$314,4,FALSE)*$O$326,0)</f>
        <v>3858</v>
      </c>
      <c r="Q311" s="220">
        <f>+VLOOKUP(A311,'Change in Proportion Layers'!$AL$8:$AQ$322,2,FALSE)+K311</f>
        <v>-34122</v>
      </c>
      <c r="R311" s="220">
        <f>+VLOOKUP(A311,'Change in Proportion Layers'!$AL$8:$AQ$322,3,FALSE)+L311</f>
        <v>-46843</v>
      </c>
      <c r="S311" s="220">
        <f>+VLOOKUP(A311,'Change in Proportion Layers'!$AL$8:$AQ$322,4,FALSE)+M311</f>
        <v>-18864</v>
      </c>
      <c r="T311" s="220">
        <f>+VLOOKUP(A311,'Change in Proportion Layers'!$AL$8:$AQ$322,5,FALSE)+N311</f>
        <v>4244</v>
      </c>
      <c r="U311" s="220">
        <f>+VLOOKUP(A311,'Change in Proportion Layers'!$AL$8:$AQ$322,6,FALSE)+O311</f>
        <v>6403</v>
      </c>
      <c r="W311" s="220">
        <f>('OPEB Amounts_Report'!H311-'OPEB Amounts_Report'!M311)</f>
        <v>-89182</v>
      </c>
      <c r="X311" s="245">
        <f t="shared" si="69"/>
        <v>0</v>
      </c>
    </row>
    <row r="312" spans="1:24" s="162" customFormat="1">
      <c r="A312" s="211">
        <v>12038</v>
      </c>
      <c r="B312" s="212" t="s">
        <v>291</v>
      </c>
      <c r="C312" s="46">
        <f t="shared" si="70"/>
        <v>-500574</v>
      </c>
      <c r="D312" s="46">
        <f t="shared" si="71"/>
        <v>-844370</v>
      </c>
      <c r="E312" s="46">
        <f t="shared" si="72"/>
        <v>-659485</v>
      </c>
      <c r="F312" s="46">
        <f t="shared" si="73"/>
        <v>-228703</v>
      </c>
      <c r="G312" s="46">
        <f t="shared" si="74"/>
        <v>1043</v>
      </c>
      <c r="I312" s="49"/>
      <c r="K312" s="220">
        <f>ROUND(VLOOKUP($A312,'Contribution Allocation_Report'!$A$9:$D$314,4,FALSE)*$K$326,0)</f>
        <v>-661094</v>
      </c>
      <c r="L312" s="220">
        <f>ROUND(VLOOKUP($A312,'Contribution Allocation_Report'!$A$9:$D$314,4,FALSE)*$L$326,0)</f>
        <v>-906689</v>
      </c>
      <c r="M312" s="220">
        <f>ROUND(VLOOKUP($A312,'Contribution Allocation_Report'!$A$9:$D$314,4,FALSE)*$M$326,0)</f>
        <v>-592822</v>
      </c>
      <c r="N312" s="220">
        <f>ROUND(VLOOKUP($A312,'Contribution Allocation_Report'!$A$9:$D$314,4,FALSE)*$N$326,0)</f>
        <v>-151636</v>
      </c>
      <c r="O312" s="220">
        <f>ROUND(VLOOKUP($A312,'Contribution Allocation_Report'!$A$9:$D$314,4,FALSE)*$O$326,0)</f>
        <v>65275</v>
      </c>
      <c r="Q312" s="220">
        <f>+VLOOKUP(A312,'Change in Proportion Layers'!$AL$8:$AQ$322,2,FALSE)+K312</f>
        <v>-500574</v>
      </c>
      <c r="R312" s="220">
        <f>+VLOOKUP(A312,'Change in Proportion Layers'!$AL$8:$AQ$322,3,FALSE)+L312</f>
        <v>-844370</v>
      </c>
      <c r="S312" s="220">
        <f>+VLOOKUP(A312,'Change in Proportion Layers'!$AL$8:$AQ$322,4,FALSE)+M312</f>
        <v>-659485</v>
      </c>
      <c r="T312" s="220">
        <f>+VLOOKUP(A312,'Change in Proportion Layers'!$AL$8:$AQ$322,5,FALSE)+N312</f>
        <v>-228703</v>
      </c>
      <c r="U312" s="220">
        <f>+VLOOKUP(A312,'Change in Proportion Layers'!$AL$8:$AQ$322,6,FALSE)+O312</f>
        <v>1043</v>
      </c>
      <c r="W312" s="220">
        <f>('OPEB Amounts_Report'!H312-'OPEB Amounts_Report'!M312)</f>
        <v>-2232089</v>
      </c>
      <c r="X312" s="245">
        <f t="shared" si="69"/>
        <v>0</v>
      </c>
    </row>
    <row r="313" spans="1:24" s="162" customFormat="1">
      <c r="A313" s="209">
        <v>8099</v>
      </c>
      <c r="B313" s="210" t="s">
        <v>292</v>
      </c>
      <c r="C313" s="219">
        <f t="shared" si="70"/>
        <v>-1052883</v>
      </c>
      <c r="D313" s="219">
        <f t="shared" si="71"/>
        <v>-1347617</v>
      </c>
      <c r="E313" s="219">
        <f t="shared" si="72"/>
        <v>-853626</v>
      </c>
      <c r="F313" s="219">
        <f t="shared" si="73"/>
        <v>-226052</v>
      </c>
      <c r="G313" s="219">
        <f t="shared" si="74"/>
        <v>110273</v>
      </c>
      <c r="I313" s="49"/>
      <c r="K313" s="220">
        <f>ROUND(VLOOKUP($A313,'Contribution Allocation_Report'!$A$9:$D$314,4,FALSE)*$K$326,0)</f>
        <v>-1177715</v>
      </c>
      <c r="L313" s="220">
        <f>ROUND(VLOOKUP($A313,'Contribution Allocation_Report'!$A$9:$D$314,4,FALSE)*$L$326,0)</f>
        <v>-1615232</v>
      </c>
      <c r="M313" s="220">
        <f>ROUND(VLOOKUP($A313,'Contribution Allocation_Report'!$A$9:$D$314,4,FALSE)*$M$326,0)</f>
        <v>-1056090</v>
      </c>
      <c r="N313" s="220">
        <f>ROUND(VLOOKUP($A313,'Contribution Allocation_Report'!$A$9:$D$314,4,FALSE)*$N$326,0)</f>
        <v>-270133</v>
      </c>
      <c r="O313" s="220">
        <f>ROUND(VLOOKUP($A313,'Contribution Allocation_Report'!$A$9:$D$314,4,FALSE)*$O$326,0)</f>
        <v>116284</v>
      </c>
      <c r="Q313" s="220">
        <f>+VLOOKUP(A313,'Change in Proportion Layers'!$AL$8:$AQ$322,2,FALSE)+K313</f>
        <v>-1052883</v>
      </c>
      <c r="R313" s="220">
        <f>+VLOOKUP(A313,'Change in Proportion Layers'!$AL$8:$AQ$322,3,FALSE)+L313</f>
        <v>-1347617</v>
      </c>
      <c r="S313" s="220">
        <f>+VLOOKUP(A313,'Change in Proportion Layers'!$AL$8:$AQ$322,4,FALSE)+M313</f>
        <v>-853626</v>
      </c>
      <c r="T313" s="220">
        <f>+VLOOKUP(A313,'Change in Proportion Layers'!$AL$8:$AQ$322,5,FALSE)+N313</f>
        <v>-226052</v>
      </c>
      <c r="U313" s="220">
        <f>+VLOOKUP(A313,'Change in Proportion Layers'!$AL$8:$AQ$322,6,FALSE)+O313+1</f>
        <v>110273</v>
      </c>
      <c r="W313" s="220">
        <f>('OPEB Amounts_Report'!H313-'OPEB Amounts_Report'!M313)</f>
        <v>-3369905</v>
      </c>
      <c r="X313" s="245">
        <f t="shared" si="69"/>
        <v>0</v>
      </c>
    </row>
    <row r="314" spans="1:24" s="162" customFormat="1">
      <c r="A314" s="211">
        <v>2417</v>
      </c>
      <c r="B314" s="212" t="s">
        <v>293</v>
      </c>
      <c r="C314" s="46">
        <f t="shared" si="70"/>
        <v>-20015</v>
      </c>
      <c r="D314" s="46">
        <f t="shared" si="71"/>
        <v>-26640</v>
      </c>
      <c r="E314" s="46">
        <f t="shared" si="72"/>
        <v>-21426</v>
      </c>
      <c r="F314" s="46">
        <f t="shared" si="73"/>
        <v>-8193</v>
      </c>
      <c r="G314" s="46">
        <f t="shared" si="74"/>
        <v>1433</v>
      </c>
      <c r="I314" s="49"/>
      <c r="K314" s="220">
        <f>ROUND(VLOOKUP($A314,'Contribution Allocation_Report'!$A$9:$D$314,4,FALSE)*$K$326,0)</f>
        <v>-22977</v>
      </c>
      <c r="L314" s="220">
        <f>ROUND(VLOOKUP($A314,'Contribution Allocation_Report'!$A$9:$D$314,4,FALSE)*$L$326,0)</f>
        <v>-31513</v>
      </c>
      <c r="M314" s="220">
        <f>ROUND(VLOOKUP($A314,'Contribution Allocation_Report'!$A$9:$D$314,4,FALSE)*$M$326,0)</f>
        <v>-20604</v>
      </c>
      <c r="N314" s="220">
        <f>ROUND(VLOOKUP($A314,'Contribution Allocation_Report'!$A$9:$D$314,4,FALSE)*$N$326,0)</f>
        <v>-5270</v>
      </c>
      <c r="O314" s="220">
        <f>ROUND(VLOOKUP($A314,'Contribution Allocation_Report'!$A$9:$D$314,4,FALSE)*$O$326,0)</f>
        <v>2269</v>
      </c>
      <c r="Q314" s="220">
        <f>+VLOOKUP(A314,'Change in Proportion Layers'!$AL$8:$AQ$322,2,FALSE)+K314</f>
        <v>-20015</v>
      </c>
      <c r="R314" s="220">
        <f>+VLOOKUP(A314,'Change in Proportion Layers'!$AL$8:$AQ$322,3,FALSE)+L314</f>
        <v>-26640</v>
      </c>
      <c r="S314" s="220">
        <f>+VLOOKUP(A314,'Change in Proportion Layers'!$AL$8:$AQ$322,4,FALSE)+M314</f>
        <v>-21426</v>
      </c>
      <c r="T314" s="220">
        <f>+VLOOKUP(A314,'Change in Proportion Layers'!$AL$8:$AQ$322,5,FALSE)+N314</f>
        <v>-8193</v>
      </c>
      <c r="U314" s="220">
        <f>+VLOOKUP(A314,'Change in Proportion Layers'!$AL$8:$AQ$322,6,FALSE)+O314-1</f>
        <v>1433</v>
      </c>
      <c r="W314" s="220">
        <f>('OPEB Amounts_Report'!H314-'OPEB Amounts_Report'!M314)</f>
        <v>-74841</v>
      </c>
      <c r="X314" s="245">
        <f t="shared" si="69"/>
        <v>0</v>
      </c>
    </row>
    <row r="315" spans="1:24" s="162" customFormat="1">
      <c r="A315" s="209">
        <v>13142</v>
      </c>
      <c r="B315" s="210" t="s">
        <v>294</v>
      </c>
      <c r="C315" s="219">
        <f>+Q315</f>
        <v>-555084</v>
      </c>
      <c r="D315" s="219">
        <f t="shared" si="71"/>
        <v>-847492</v>
      </c>
      <c r="E315" s="219">
        <f t="shared" si="72"/>
        <v>-477207</v>
      </c>
      <c r="F315" s="219">
        <f t="shared" si="73"/>
        <v>-184742</v>
      </c>
      <c r="G315" s="219">
        <f t="shared" si="74"/>
        <v>63603</v>
      </c>
      <c r="I315" s="49"/>
      <c r="K315" s="220">
        <f>ROUND(VLOOKUP($A315,'Contribution Allocation_Report'!$A$9:$D$314,4,FALSE)*$K$326,0)</f>
        <v>-720190</v>
      </c>
      <c r="L315" s="220">
        <f>ROUND(VLOOKUP($A315,'Contribution Allocation_Report'!$A$9:$D$314,4,FALSE)*$L$326,0)</f>
        <v>-987738</v>
      </c>
      <c r="M315" s="220">
        <f>ROUND(VLOOKUP($A315,'Contribution Allocation_Report'!$A$9:$D$314,4,FALSE)*$M$326,0)</f>
        <v>-645815</v>
      </c>
      <c r="N315" s="220">
        <f>ROUND(VLOOKUP($A315,'Contribution Allocation_Report'!$A$9:$D$314,4,FALSE)*$N$326,0)</f>
        <v>-165190</v>
      </c>
      <c r="O315" s="220">
        <f>ROUND(VLOOKUP($A315,'Contribution Allocation_Report'!$A$9:$D$314,4,FALSE)*$O$326,0)</f>
        <v>71109</v>
      </c>
      <c r="Q315" s="220">
        <f>+VLOOKUP(A315,'Change in Proportion Layers'!$AL$8:$AQ$322,2,FALSE)+K315</f>
        <v>-555084</v>
      </c>
      <c r="R315" s="220">
        <f>+VLOOKUP(A315,'Change in Proportion Layers'!$AL$8:$AQ$322,3,FALSE)+L315</f>
        <v>-847492</v>
      </c>
      <c r="S315" s="220">
        <f>+VLOOKUP(A315,'Change in Proportion Layers'!$AL$8:$AQ$322,4,FALSE)+M315</f>
        <v>-477207</v>
      </c>
      <c r="T315" s="220">
        <f>+VLOOKUP(A315,'Change in Proportion Layers'!$AL$8:$AQ$322,5,FALSE)+N315</f>
        <v>-184742</v>
      </c>
      <c r="U315" s="220">
        <f>+VLOOKUP(A315,'Change in Proportion Layers'!$AL$8:$AQ$322,6,FALSE)+O315+2</f>
        <v>63603</v>
      </c>
      <c r="W315" s="220">
        <f>('OPEB Amounts_Report'!H315-'OPEB Amounts_Report'!M315)</f>
        <v>-2000922</v>
      </c>
      <c r="X315" s="245">
        <f t="shared" si="69"/>
        <v>0</v>
      </c>
    </row>
    <row r="316" spans="1:24" s="192" customFormat="1">
      <c r="A316" s="211">
        <v>17425</v>
      </c>
      <c r="B316" s="212" t="s">
        <v>507</v>
      </c>
      <c r="C316" s="46">
        <f>+Q316</f>
        <v>-59807</v>
      </c>
      <c r="D316" s="46">
        <f>+R316</f>
        <v>-50714</v>
      </c>
      <c r="E316" s="46">
        <f>+S316</f>
        <v>-24149</v>
      </c>
      <c r="F316" s="46">
        <f>+T316</f>
        <v>-47974</v>
      </c>
      <c r="G316" s="46">
        <f>+U316</f>
        <v>-59933</v>
      </c>
      <c r="H316" s="8"/>
      <c r="I316" s="49"/>
      <c r="J316" s="8"/>
      <c r="K316" s="220">
        <v>0</v>
      </c>
      <c r="L316" s="220">
        <v>0</v>
      </c>
      <c r="M316" s="220">
        <v>0</v>
      </c>
      <c r="N316" s="220">
        <v>0</v>
      </c>
      <c r="O316" s="220">
        <v>0</v>
      </c>
      <c r="P316" s="8"/>
      <c r="Q316" s="220">
        <f>+VLOOKUP(A316,'Change in Proportion Layers'!$AL$8:$AQ$322,2,FALSE)+K316</f>
        <v>-59807</v>
      </c>
      <c r="R316" s="220">
        <f>+VLOOKUP(A316,'Change in Proportion Layers'!$AL$8:$AQ$322,3,FALSE)+L316</f>
        <v>-50714</v>
      </c>
      <c r="S316" s="220">
        <f>+VLOOKUP(A316,'Change in Proportion Layers'!$AL$8:$AQ$322,4,FALSE)+M316</f>
        <v>-24149</v>
      </c>
      <c r="T316" s="220">
        <f>+VLOOKUP(A316,'Change in Proportion Layers'!$AL$8:$AQ$322,5,FALSE)+N316</f>
        <v>-47974</v>
      </c>
      <c r="U316" s="220">
        <f>+VLOOKUP(A316,'Change in Proportion Layers'!$AL$8:$AQ$322,6,FALSE)+O316</f>
        <v>-59933</v>
      </c>
      <c r="V316" s="8"/>
      <c r="W316" s="220">
        <f>('OPEB Amounts_Report'!H316-'OPEB Amounts_Report'!M316)</f>
        <v>-242577</v>
      </c>
      <c r="X316" s="245">
        <f>SUM(Q316:U316)-W316</f>
        <v>0</v>
      </c>
    </row>
    <row r="317" spans="1:24" s="192" customFormat="1">
      <c r="A317" s="209">
        <v>4170</v>
      </c>
      <c r="B317" s="210" t="s">
        <v>503</v>
      </c>
      <c r="C317" s="219">
        <f t="shared" ref="C317" si="80">+Q317</f>
        <v>-59841</v>
      </c>
      <c r="D317" s="219">
        <f t="shared" ref="D317" si="81">+R317</f>
        <v>-58968</v>
      </c>
      <c r="E317" s="296">
        <f t="shared" ref="E317" si="82">+S317</f>
        <v>-14335</v>
      </c>
      <c r="F317" s="296">
        <f t="shared" ref="F317" si="83">+T317</f>
        <v>0</v>
      </c>
      <c r="G317" s="296">
        <f t="shared" ref="G317" si="84">+U317</f>
        <v>0</v>
      </c>
      <c r="I317" s="221"/>
      <c r="K317" s="220">
        <v>0</v>
      </c>
      <c r="L317" s="220">
        <v>0</v>
      </c>
      <c r="M317" s="220">
        <v>0</v>
      </c>
      <c r="N317" s="220">
        <v>0</v>
      </c>
      <c r="O317" s="220">
        <v>0</v>
      </c>
      <c r="Q317" s="220">
        <f>+VLOOKUP(A317,'Change in Proportion Layers'!$AL$8:$AQ$322,2,FALSE)+K317</f>
        <v>-59841</v>
      </c>
      <c r="R317" s="220">
        <f>+VLOOKUP(A317,'Change in Proportion Layers'!$AL$8:$AQ$322,3,FALSE)+L317</f>
        <v>-58968</v>
      </c>
      <c r="S317" s="220">
        <f>+VLOOKUP(A317,'Change in Proportion Layers'!$AL$8:$AQ$322,4,FALSE)+M317</f>
        <v>-14335</v>
      </c>
      <c r="T317" s="220">
        <f>+VLOOKUP(A317,'Change in Proportion Layers'!$AL$8:$AQ$322,5,FALSE)+N317</f>
        <v>0</v>
      </c>
      <c r="U317" s="220">
        <f>+VLOOKUP(A317,'Change in Proportion Layers'!$AL$8:$AQ$322,6,FALSE)+O317</f>
        <v>0</v>
      </c>
      <c r="W317" s="220">
        <f>('OPEB Amounts_Report'!H317-'OPEB Amounts_Report'!M317)</f>
        <v>-133144</v>
      </c>
      <c r="X317" s="245">
        <f t="shared" si="69"/>
        <v>0</v>
      </c>
    </row>
    <row r="318" spans="1:24" s="192" customFormat="1">
      <c r="A318" s="211">
        <v>17334</v>
      </c>
      <c r="B318" s="212" t="s">
        <v>502</v>
      </c>
      <c r="C318" s="46">
        <f t="shared" ref="C318" si="85">+Q318</f>
        <v>-28375</v>
      </c>
      <c r="D318" s="46">
        <f t="shared" ref="D318" si="86">+R318</f>
        <v>-16508</v>
      </c>
      <c r="E318" s="297">
        <f t="shared" ref="E318" si="87">+S318</f>
        <v>0</v>
      </c>
      <c r="F318" s="297">
        <f t="shared" ref="F318" si="88">+T318</f>
        <v>0</v>
      </c>
      <c r="G318" s="297">
        <f t="shared" ref="G318" si="89">+U318</f>
        <v>0</v>
      </c>
      <c r="I318" s="221"/>
      <c r="K318" s="220">
        <v>0</v>
      </c>
      <c r="L318" s="220">
        <v>0</v>
      </c>
      <c r="M318" s="220">
        <v>0</v>
      </c>
      <c r="N318" s="220">
        <v>0</v>
      </c>
      <c r="O318" s="220">
        <v>0</v>
      </c>
      <c r="Q318" s="220">
        <f>+VLOOKUP(A318,'Change in Proportion Layers'!$AL$8:$AQ$322,2,FALSE)+K318</f>
        <v>-28375</v>
      </c>
      <c r="R318" s="220">
        <f>+VLOOKUP(A318,'Change in Proportion Layers'!$AL$8:$AQ$322,3,FALSE)+L318</f>
        <v>-16508</v>
      </c>
      <c r="S318" s="220">
        <f>+VLOOKUP(A318,'Change in Proportion Layers'!$AL$8:$AQ$322,4,FALSE)+M318</f>
        <v>0</v>
      </c>
      <c r="T318" s="220">
        <f>+VLOOKUP(A318,'Change in Proportion Layers'!$AL$8:$AQ$322,5,FALSE)+N318</f>
        <v>0</v>
      </c>
      <c r="U318" s="220">
        <f>+VLOOKUP(A318,'Change in Proportion Layers'!$AL$8:$AQ$322,6,FALSE)+O318</f>
        <v>0</v>
      </c>
      <c r="W318" s="220">
        <f>('OPEB Amounts_Report'!H318-'OPEB Amounts_Report'!M318)</f>
        <v>-44883</v>
      </c>
      <c r="X318" s="245">
        <f t="shared" si="69"/>
        <v>0</v>
      </c>
    </row>
    <row r="319" spans="1:24" s="162" customFormat="1">
      <c r="A319" s="209">
        <v>2403</v>
      </c>
      <c r="B319" s="210" t="s">
        <v>501</v>
      </c>
      <c r="C319" s="219">
        <f t="shared" si="70"/>
        <v>0</v>
      </c>
      <c r="D319" s="219">
        <f t="shared" si="71"/>
        <v>0</v>
      </c>
      <c r="E319" s="296">
        <f t="shared" si="72"/>
        <v>0</v>
      </c>
      <c r="F319" s="296">
        <f t="shared" si="73"/>
        <v>0</v>
      </c>
      <c r="G319" s="296">
        <f t="shared" si="74"/>
        <v>0</v>
      </c>
      <c r="I319" s="49"/>
      <c r="K319" s="220">
        <v>0</v>
      </c>
      <c r="L319" s="220">
        <v>0</v>
      </c>
      <c r="M319" s="220">
        <v>0</v>
      </c>
      <c r="N319" s="220">
        <v>0</v>
      </c>
      <c r="O319" s="220">
        <v>0</v>
      </c>
      <c r="Q319" s="220">
        <f>+VLOOKUP(A319,'Change in Proportion Layers'!$AL$8:$AQ$322,2,FALSE)+K319</f>
        <v>0</v>
      </c>
      <c r="R319" s="220">
        <f>+VLOOKUP(A319,'Change in Proportion Layers'!$AL$8:$AQ$322,3,FALSE)+L319</f>
        <v>0</v>
      </c>
      <c r="S319" s="220">
        <f>+VLOOKUP(A319,'Change in Proportion Layers'!$AL$8:$AQ$322,4,FALSE)+M319</f>
        <v>0</v>
      </c>
      <c r="T319" s="220">
        <f>+VLOOKUP(A319,'Change in Proportion Layers'!$AL$8:$AQ$322,5,FALSE)+N319</f>
        <v>0</v>
      </c>
      <c r="U319" s="220">
        <f>+VLOOKUP(A319,'Change in Proportion Layers'!$AL$8:$AQ$322,6,FALSE)+O319</f>
        <v>0</v>
      </c>
      <c r="W319" s="220">
        <f>('OPEB Amounts_Report'!H319-'OPEB Amounts_Report'!M319)</f>
        <v>0</v>
      </c>
      <c r="X319" s="245">
        <f t="shared" si="69"/>
        <v>0</v>
      </c>
    </row>
    <row r="320" spans="1:24" s="162" customFormat="1">
      <c r="A320" s="211">
        <v>16358</v>
      </c>
      <c r="B320" s="212" t="s">
        <v>500</v>
      </c>
      <c r="C320" s="46">
        <f t="shared" si="70"/>
        <v>0</v>
      </c>
      <c r="D320" s="46">
        <f t="shared" si="71"/>
        <v>0</v>
      </c>
      <c r="E320" s="297">
        <f t="shared" si="72"/>
        <v>0</v>
      </c>
      <c r="F320" s="297">
        <f t="shared" si="73"/>
        <v>0</v>
      </c>
      <c r="G320" s="297">
        <f t="shared" si="74"/>
        <v>0</v>
      </c>
      <c r="I320" s="49"/>
      <c r="K320" s="220">
        <v>0</v>
      </c>
      <c r="L320" s="220">
        <v>0</v>
      </c>
      <c r="M320" s="220">
        <v>0</v>
      </c>
      <c r="N320" s="220">
        <v>0</v>
      </c>
      <c r="O320" s="220">
        <v>0</v>
      </c>
      <c r="Q320" s="220">
        <f>+VLOOKUP(A320,'Change in Proportion Layers'!$AL$8:$AQ$322,2,FALSE)+K320</f>
        <v>0</v>
      </c>
      <c r="R320" s="220">
        <f>+VLOOKUP(A320,'Change in Proportion Layers'!$AL$8:$AQ$322,3,FALSE)+L320</f>
        <v>0</v>
      </c>
      <c r="S320" s="220">
        <f>+VLOOKUP(A320,'Change in Proportion Layers'!$AL$8:$AQ$322,4,FALSE)+M320</f>
        <v>0</v>
      </c>
      <c r="T320" s="220">
        <f>+VLOOKUP(A320,'Change in Proportion Layers'!$AL$8:$AQ$322,5,FALSE)+N320</f>
        <v>0</v>
      </c>
      <c r="U320" s="220">
        <f>+VLOOKUP(A320,'Change in Proportion Layers'!$AL$8:$AQ$322,6,FALSE)+O320</f>
        <v>0</v>
      </c>
      <c r="W320" s="220">
        <f>('OPEB Amounts_Report'!H320-'OPEB Amounts_Report'!M320)</f>
        <v>0</v>
      </c>
      <c r="X320" s="245">
        <f t="shared" si="69"/>
        <v>0</v>
      </c>
    </row>
    <row r="321" spans="1:24" s="162" customFormat="1">
      <c r="A321" s="209">
        <v>2357</v>
      </c>
      <c r="B321" s="210" t="s">
        <v>499</v>
      </c>
      <c r="C321" s="219">
        <f t="shared" si="70"/>
        <v>0</v>
      </c>
      <c r="D321" s="219">
        <f t="shared" si="71"/>
        <v>0</v>
      </c>
      <c r="E321" s="296">
        <f t="shared" si="72"/>
        <v>0</v>
      </c>
      <c r="F321" s="296">
        <f t="shared" si="73"/>
        <v>0</v>
      </c>
      <c r="G321" s="296">
        <f t="shared" si="74"/>
        <v>0</v>
      </c>
      <c r="I321" s="49"/>
      <c r="K321" s="220">
        <v>0</v>
      </c>
      <c r="L321" s="220">
        <v>0</v>
      </c>
      <c r="M321" s="220">
        <v>0</v>
      </c>
      <c r="N321" s="220">
        <v>0</v>
      </c>
      <c r="O321" s="220">
        <v>0</v>
      </c>
      <c r="Q321" s="220">
        <f>+VLOOKUP(A321,'Change in Proportion Layers'!$AL$8:$AQ$322,2,FALSE)+K321</f>
        <v>0</v>
      </c>
      <c r="R321" s="220">
        <f>+VLOOKUP(A321,'Change in Proportion Layers'!$AL$8:$AQ$322,3,FALSE)+L321</f>
        <v>0</v>
      </c>
      <c r="S321" s="220">
        <f>+VLOOKUP(A321,'Change in Proportion Layers'!$AL$8:$AQ$322,4,FALSE)+M321</f>
        <v>0</v>
      </c>
      <c r="T321" s="220">
        <f>+VLOOKUP(A321,'Change in Proportion Layers'!$AL$8:$AQ$322,5,FALSE)+N321</f>
        <v>0</v>
      </c>
      <c r="U321" s="220">
        <f>+VLOOKUP(A321,'Change in Proportion Layers'!$AL$8:$AQ$322,6,FALSE)+O321</f>
        <v>0</v>
      </c>
      <c r="W321" s="220">
        <f>('OPEB Amounts_Report'!H321-'OPEB Amounts_Report'!M321)</f>
        <v>0</v>
      </c>
      <c r="X321" s="245">
        <f t="shared" si="69"/>
        <v>0</v>
      </c>
    </row>
    <row r="322" spans="1:24" s="8" customFormat="1">
      <c r="A322" s="211">
        <v>16357</v>
      </c>
      <c r="B322" s="212" t="s">
        <v>498</v>
      </c>
      <c r="C322" s="46">
        <f t="shared" si="70"/>
        <v>0</v>
      </c>
      <c r="D322" s="46">
        <f t="shared" si="71"/>
        <v>0</v>
      </c>
      <c r="E322" s="297">
        <f t="shared" si="72"/>
        <v>0</v>
      </c>
      <c r="F322" s="297">
        <f t="shared" si="73"/>
        <v>0</v>
      </c>
      <c r="G322" s="297">
        <f t="shared" si="74"/>
        <v>0</v>
      </c>
      <c r="I322" s="49"/>
      <c r="K322" s="220">
        <v>0</v>
      </c>
      <c r="L322" s="220">
        <v>0</v>
      </c>
      <c r="M322" s="220">
        <v>0</v>
      </c>
      <c r="N322" s="220">
        <v>0</v>
      </c>
      <c r="O322" s="220">
        <v>0</v>
      </c>
      <c r="Q322" s="220">
        <f>+VLOOKUP(A322,'Change in Proportion Layers'!$AL$8:$AQ$322,2,FALSE)+K322</f>
        <v>0</v>
      </c>
      <c r="R322" s="220">
        <f>+VLOOKUP(A322,'Change in Proportion Layers'!$AL$8:$AQ$322,3,FALSE)+L322</f>
        <v>0</v>
      </c>
      <c r="S322" s="220">
        <f>+VLOOKUP(A322,'Change in Proportion Layers'!$AL$8:$AQ$322,4,FALSE)+M322</f>
        <v>0</v>
      </c>
      <c r="T322" s="220">
        <f>+VLOOKUP(A322,'Change in Proportion Layers'!$AL$8:$AQ$322,5,FALSE)+N322</f>
        <v>0</v>
      </c>
      <c r="U322" s="220">
        <f>+VLOOKUP(A322,'Change in Proportion Layers'!$AL$8:$AQ$322,6,FALSE)+O322</f>
        <v>0</v>
      </c>
      <c r="V322" s="162"/>
      <c r="W322" s="220">
        <f>('OPEB Amounts_Report'!H322-'OPEB Amounts_Report'!M322)</f>
        <v>0</v>
      </c>
      <c r="X322" s="245">
        <f t="shared" si="69"/>
        <v>0</v>
      </c>
    </row>
    <row r="323" spans="1:24" s="8" customFormat="1">
      <c r="A323" s="209">
        <v>7339</v>
      </c>
      <c r="B323" s="210" t="s">
        <v>497</v>
      </c>
      <c r="C323" s="219">
        <f t="shared" si="70"/>
        <v>0</v>
      </c>
      <c r="D323" s="296">
        <f t="shared" si="71"/>
        <v>0</v>
      </c>
      <c r="E323" s="296">
        <f t="shared" si="72"/>
        <v>0</v>
      </c>
      <c r="F323" s="296">
        <f t="shared" si="73"/>
        <v>0</v>
      </c>
      <c r="G323" s="296">
        <f t="shared" si="74"/>
        <v>0</v>
      </c>
      <c r="I323" s="49"/>
      <c r="K323" s="220">
        <v>0</v>
      </c>
      <c r="L323" s="220">
        <v>0</v>
      </c>
      <c r="M323" s="220">
        <v>0</v>
      </c>
      <c r="N323" s="220">
        <v>0</v>
      </c>
      <c r="O323" s="220">
        <v>0</v>
      </c>
      <c r="Q323" s="220">
        <f>+VLOOKUP(A323,'Change in Proportion Layers'!$AL$8:$AQ$322,2,FALSE)+K323</f>
        <v>0</v>
      </c>
      <c r="R323" s="220">
        <f>+VLOOKUP(A323,'Change in Proportion Layers'!$AL$8:$AQ$322,3,FALSE)+L323</f>
        <v>0</v>
      </c>
      <c r="S323" s="220">
        <f>+VLOOKUP(A323,'Change in Proportion Layers'!$AL$8:$AQ$322,4,FALSE)+M323</f>
        <v>0</v>
      </c>
      <c r="T323" s="220">
        <f>+VLOOKUP(A323,'Change in Proportion Layers'!$AL$8:$AQ$322,5,FALSE)+N323</f>
        <v>0</v>
      </c>
      <c r="U323" s="220">
        <f>+VLOOKUP(A323,'Change in Proportion Layers'!$AL$8:$AQ$322,6,FALSE)+O323</f>
        <v>0</v>
      </c>
      <c r="V323" s="162"/>
      <c r="W323" s="220">
        <f>('OPEB Amounts_Report'!H323-'OPEB Amounts_Report'!M323)</f>
        <v>0</v>
      </c>
      <c r="X323" s="245">
        <f t="shared" si="69"/>
        <v>0</v>
      </c>
    </row>
    <row r="324" spans="1:24" s="8" customFormat="1">
      <c r="A324" s="211">
        <v>2344</v>
      </c>
      <c r="B324" s="212" t="s">
        <v>496</v>
      </c>
      <c r="C324" s="356">
        <f t="shared" si="70"/>
        <v>0</v>
      </c>
      <c r="D324" s="357">
        <f t="shared" si="71"/>
        <v>0</v>
      </c>
      <c r="E324" s="357">
        <f t="shared" si="72"/>
        <v>0</v>
      </c>
      <c r="F324" s="357">
        <f t="shared" si="73"/>
        <v>0</v>
      </c>
      <c r="G324" s="357">
        <f t="shared" si="74"/>
        <v>0</v>
      </c>
      <c r="I324" s="49"/>
      <c r="K324" s="220">
        <v>0</v>
      </c>
      <c r="L324" s="220">
        <v>0</v>
      </c>
      <c r="M324" s="220">
        <v>0</v>
      </c>
      <c r="N324" s="220">
        <v>0</v>
      </c>
      <c r="O324" s="220">
        <v>0</v>
      </c>
      <c r="Q324" s="220">
        <f>+VLOOKUP(A324,'Change in Proportion Layers'!$AL$8:$AQ$322,2,FALSE)+K324</f>
        <v>0</v>
      </c>
      <c r="R324" s="220">
        <f>+VLOOKUP(A324,'Change in Proportion Layers'!$AL$8:$AQ$322,3,FALSE)+L324</f>
        <v>0</v>
      </c>
      <c r="S324" s="220">
        <f>+VLOOKUP(A324,'Change in Proportion Layers'!$AL$8:$AQ$322,4,FALSE)+M324</f>
        <v>0</v>
      </c>
      <c r="T324" s="220">
        <f>+VLOOKUP(A324,'Change in Proportion Layers'!$AL$8:$AQ$322,5,FALSE)+N324</f>
        <v>0</v>
      </c>
      <c r="U324" s="220">
        <f>+VLOOKUP(A324,'Change in Proportion Layers'!$AL$8:$AQ$322,6,FALSE)+O324</f>
        <v>0</v>
      </c>
      <c r="V324" s="162"/>
      <c r="W324" s="220">
        <f>('OPEB Amounts_Report'!H324-'OPEB Amounts_Report'!M324)</f>
        <v>0</v>
      </c>
      <c r="X324" s="245">
        <f t="shared" si="69"/>
        <v>0</v>
      </c>
    </row>
    <row r="325" spans="1:24" s="8" customFormat="1" ht="8.1" customHeight="1">
      <c r="A325" s="3"/>
      <c r="B325" s="1"/>
      <c r="C325" s="4"/>
      <c r="D325" s="4"/>
      <c r="E325" s="4"/>
      <c r="F325" s="1"/>
      <c r="G325" s="1"/>
      <c r="J325" s="36"/>
    </row>
    <row r="326" spans="1:24" s="8" customFormat="1" ht="15.75" thickBot="1">
      <c r="A326" s="3"/>
      <c r="B326" s="18"/>
      <c r="C326" s="50">
        <f>SUM(C10:C325)</f>
        <v>-279262849</v>
      </c>
      <c r="D326" s="50">
        <f>SUM(D10:D325)</f>
        <v>-383008089</v>
      </c>
      <c r="E326" s="50">
        <f>SUM(E10:E325)</f>
        <v>-250422900</v>
      </c>
      <c r="F326" s="50">
        <f>SUM(F10:F325)</f>
        <v>-64054639</v>
      </c>
      <c r="G326" s="50">
        <f>SUM(G10:G325)</f>
        <v>27573584</v>
      </c>
      <c r="I326" s="37"/>
      <c r="J326" s="38"/>
      <c r="K326" s="303">
        <v>-279262849</v>
      </c>
      <c r="L326" s="303">
        <v>-383008089</v>
      </c>
      <c r="M326" s="303">
        <v>-250422900</v>
      </c>
      <c r="N326" s="303">
        <v>-64054639</v>
      </c>
      <c r="O326" s="303">
        <v>27573584</v>
      </c>
      <c r="Q326" s="222">
        <f>SUM(Q10:Q325)</f>
        <v>-279262849</v>
      </c>
      <c r="R326" s="222">
        <f>SUM(R10:R325)</f>
        <v>-383008089</v>
      </c>
      <c r="S326" s="222">
        <f>SUM(S10:S325)</f>
        <v>-250422900</v>
      </c>
      <c r="T326" s="222">
        <f>SUM(T10:T325)</f>
        <v>-64054639</v>
      </c>
      <c r="U326" s="222">
        <f>SUM(U10:U325)</f>
        <v>27573584</v>
      </c>
    </row>
    <row r="327" spans="1:24" s="192" customFormat="1" ht="15.75" thickTop="1">
      <c r="A327" s="3"/>
      <c r="B327" s="18"/>
      <c r="C327" s="189"/>
      <c r="D327" s="189"/>
      <c r="E327" s="189"/>
      <c r="F327" s="189"/>
      <c r="G327" s="189"/>
      <c r="I327" s="37"/>
      <c r="J327" s="38"/>
      <c r="K327" s="366"/>
      <c r="L327" s="366"/>
      <c r="M327" s="366"/>
      <c r="N327" s="366"/>
      <c r="O327" s="366"/>
      <c r="Q327" s="189"/>
      <c r="R327" s="189"/>
      <c r="S327" s="189"/>
      <c r="T327" s="189"/>
      <c r="U327" s="189"/>
    </row>
    <row r="328" spans="1:24" s="192" customFormat="1">
      <c r="A328" s="215" t="s">
        <v>506</v>
      </c>
      <c r="B328" s="18"/>
      <c r="C328" s="189"/>
      <c r="D328" s="189"/>
      <c r="E328" s="189"/>
      <c r="F328" s="189"/>
      <c r="G328" s="189"/>
      <c r="I328" s="37"/>
      <c r="J328" s="38"/>
      <c r="K328" s="366"/>
      <c r="L328" s="366"/>
      <c r="M328" s="366"/>
      <c r="N328" s="366"/>
      <c r="O328" s="366"/>
      <c r="Q328" s="189"/>
      <c r="R328" s="189"/>
      <c r="S328" s="189"/>
      <c r="T328" s="189"/>
      <c r="U328" s="189"/>
    </row>
    <row r="329" spans="1:24" s="8" customFormat="1">
      <c r="A329" s="215" t="s">
        <v>494</v>
      </c>
      <c r="C329" s="9"/>
      <c r="D329" s="9"/>
      <c r="E329" s="9"/>
      <c r="F329" s="9"/>
      <c r="G329" s="9"/>
      <c r="I329" s="10"/>
      <c r="J329" s="39"/>
    </row>
    <row r="330" spans="1:24" s="8" customFormat="1">
      <c r="A330" s="32" t="s">
        <v>493</v>
      </c>
      <c r="C330" s="48"/>
      <c r="D330" s="48"/>
      <c r="E330" s="48"/>
      <c r="F330" s="48"/>
      <c r="G330" s="48"/>
      <c r="I330" s="40"/>
      <c r="J330" s="39"/>
      <c r="K330" s="304">
        <v>-279262849</v>
      </c>
      <c r="L330" s="304">
        <v>-383008089</v>
      </c>
      <c r="M330" s="304">
        <v>-250422900</v>
      </c>
      <c r="N330" s="304">
        <v>-64054639</v>
      </c>
      <c r="O330" s="304">
        <v>27573584</v>
      </c>
      <c r="Q330" s="304">
        <v>-279262849</v>
      </c>
      <c r="R330" s="304">
        <v>-383008089</v>
      </c>
      <c r="S330" s="304">
        <v>-250422900</v>
      </c>
      <c r="T330" s="304">
        <v>-64054639</v>
      </c>
      <c r="U330" s="304">
        <v>27573584</v>
      </c>
      <c r="X330" s="143">
        <f>SUM(X10:X324)</f>
        <v>0</v>
      </c>
    </row>
    <row r="331" spans="1:24" s="8" customFormat="1">
      <c r="A331" s="32" t="s">
        <v>492</v>
      </c>
      <c r="C331" s="88"/>
      <c r="D331" s="88"/>
      <c r="E331" s="88"/>
      <c r="F331" s="88"/>
      <c r="G331" s="88"/>
      <c r="K331" s="144" t="s">
        <v>377</v>
      </c>
      <c r="Q331" s="144" t="s">
        <v>377</v>
      </c>
    </row>
    <row r="332" spans="1:24" s="8" customFormat="1">
      <c r="A332" s="215"/>
      <c r="K332" s="143">
        <f>SUM(K10:K324)-K326</f>
        <v>0</v>
      </c>
      <c r="L332" s="245">
        <f t="shared" ref="L332:O332" si="90">SUM(L10:L324)-L326</f>
        <v>0</v>
      </c>
      <c r="M332" s="245">
        <f t="shared" si="90"/>
        <v>0</v>
      </c>
      <c r="N332" s="245">
        <f t="shared" si="90"/>
        <v>0</v>
      </c>
      <c r="O332" s="245">
        <f t="shared" si="90"/>
        <v>0</v>
      </c>
      <c r="Q332" s="143">
        <f>+Q326-Q330</f>
        <v>0</v>
      </c>
      <c r="R332" s="143">
        <f>+R326-R330</f>
        <v>0</v>
      </c>
      <c r="S332" s="143">
        <f>+S326-S330</f>
        <v>0</v>
      </c>
      <c r="T332" s="143">
        <f>+T326-T330</f>
        <v>0</v>
      </c>
      <c r="U332" s="143">
        <f>+U326-U330</f>
        <v>0</v>
      </c>
    </row>
    <row r="335" spans="1:24">
      <c r="J335" s="152"/>
      <c r="K335" s="245"/>
      <c r="L335" s="245"/>
      <c r="M335" s="245"/>
      <c r="N335" s="245"/>
      <c r="O335" s="245"/>
      <c r="Q335" s="87"/>
      <c r="R335" s="87"/>
    </row>
    <row r="336" spans="1:24">
      <c r="J336" s="259"/>
      <c r="K336" s="355"/>
      <c r="L336" s="355"/>
      <c r="M336" s="355"/>
      <c r="N336" s="355"/>
      <c r="O336" s="355">
        <f>+'OPEB Amounts_Report'!H326-'OPEB Amounts_Report'!M326</f>
        <v>-949174893</v>
      </c>
    </row>
    <row r="337" spans="10:15">
      <c r="J337" s="257"/>
      <c r="K337" s="258"/>
      <c r="L337" s="258"/>
      <c r="M337" s="257"/>
      <c r="N337" t="s">
        <v>375</v>
      </c>
      <c r="O337" s="87">
        <f>SUM(K326:O326)-O336</f>
        <v>0</v>
      </c>
    </row>
    <row r="338" spans="10:15">
      <c r="J338" s="257"/>
      <c r="K338" s="205"/>
      <c r="L338" s="205"/>
      <c r="M338" s="257"/>
    </row>
    <row r="339" spans="10:15">
      <c r="J339" s="257"/>
      <c r="K339" s="164"/>
      <c r="L339" s="255"/>
      <c r="M339" s="257"/>
      <c r="N339" s="189"/>
    </row>
    <row r="340" spans="10:15">
      <c r="J340" s="257"/>
      <c r="K340" s="164"/>
      <c r="L340" s="242"/>
      <c r="M340" s="257"/>
      <c r="N340" s="189"/>
    </row>
    <row r="341" spans="10:15">
      <c r="J341" s="257"/>
      <c r="K341" s="164"/>
      <c r="L341" s="242"/>
      <c r="M341" s="257"/>
      <c r="N341" s="189"/>
    </row>
    <row r="342" spans="10:15">
      <c r="J342" s="257"/>
      <c r="K342" s="164"/>
      <c r="L342" s="242"/>
      <c r="M342" s="257"/>
      <c r="N342" s="189"/>
    </row>
    <row r="343" spans="10:15">
      <c r="J343" s="257"/>
      <c r="K343" s="164"/>
      <c r="L343" s="242"/>
      <c r="M343" s="257"/>
      <c r="N343" s="189"/>
    </row>
    <row r="344" spans="10:15">
      <c r="J344" s="257"/>
      <c r="K344" s="205"/>
      <c r="L344" s="205"/>
      <c r="M344" s="257"/>
    </row>
    <row r="345" spans="10:15">
      <c r="J345" s="257"/>
      <c r="K345" s="205"/>
      <c r="L345" s="163"/>
      <c r="M345" s="257"/>
    </row>
    <row r="346" spans="10:15">
      <c r="J346" s="257"/>
      <c r="K346" s="205"/>
      <c r="L346" s="205"/>
      <c r="M346" s="257"/>
    </row>
  </sheetData>
  <mergeCells count="8">
    <mergeCell ref="K8:O8"/>
    <mergeCell ref="Q6:U6"/>
    <mergeCell ref="Q8:U8"/>
    <mergeCell ref="A1:G1"/>
    <mergeCell ref="A2:G2"/>
    <mergeCell ref="A3:G3"/>
    <mergeCell ref="C6:G6"/>
    <mergeCell ref="K6:O6"/>
  </mergeCells>
  <printOptions horizontalCentered="1"/>
  <pageMargins left="0.7" right="0.7" top="0.5" bottom="0.5" header="0.5" footer="0.5"/>
  <pageSetup scale="57" firstPageNumber="24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80" max="6" man="1"/>
    <brk id="149" max="6" man="1"/>
    <brk id="220" max="6" man="1"/>
    <brk id="293" max="6" man="1"/>
  </rowBreaks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326"/>
  <sheetViews>
    <sheetView view="pageBreakPreview" topLeftCell="A233" zoomScaleNormal="100" zoomScaleSheetLayoutView="100" workbookViewId="0">
      <selection activeCell="D567" sqref="D567"/>
    </sheetView>
  </sheetViews>
  <sheetFormatPr defaultRowHeight="15"/>
  <cols>
    <col min="1" max="1" width="13.5703125" style="34" customWidth="1"/>
    <col min="2" max="2" width="76.42578125" style="34" bestFit="1" customWidth="1"/>
    <col min="3" max="5" width="15.5703125" style="34" bestFit="1" customWidth="1"/>
    <col min="6" max="6" width="2" customWidth="1"/>
  </cols>
  <sheetData>
    <row r="1" spans="1:14" ht="18">
      <c r="A1" s="429" t="s">
        <v>381</v>
      </c>
      <c r="B1" s="429"/>
      <c r="C1" s="429"/>
      <c r="D1" s="429"/>
      <c r="E1" s="429"/>
    </row>
    <row r="2" spans="1:14" ht="15.75">
      <c r="A2" s="430" t="s">
        <v>385</v>
      </c>
      <c r="B2" s="430"/>
      <c r="C2" s="430"/>
      <c r="D2" s="430"/>
      <c r="E2" s="430"/>
    </row>
    <row r="3" spans="1:14" ht="15.75">
      <c r="A3" s="435" t="s">
        <v>504</v>
      </c>
      <c r="B3" s="430"/>
      <c r="C3" s="430"/>
      <c r="D3" s="430"/>
      <c r="E3" s="430"/>
    </row>
    <row r="5" spans="1:14" ht="59.1" customHeight="1">
      <c r="A5" s="43" t="s">
        <v>0</v>
      </c>
      <c r="B5" s="44" t="s">
        <v>1</v>
      </c>
      <c r="C5" s="43" t="s">
        <v>509</v>
      </c>
      <c r="D5" s="43" t="s">
        <v>508</v>
      </c>
      <c r="E5" s="43" t="s">
        <v>510</v>
      </c>
      <c r="F5" s="8"/>
    </row>
    <row r="6" spans="1:14">
      <c r="A6" s="19"/>
      <c r="B6" s="19"/>
      <c r="C6" s="197" t="s">
        <v>407</v>
      </c>
      <c r="D6" s="197" t="s">
        <v>408</v>
      </c>
      <c r="E6" s="197" t="s">
        <v>443</v>
      </c>
      <c r="F6" s="8"/>
    </row>
    <row r="7" spans="1:14">
      <c r="A7" s="19"/>
      <c r="B7" s="19"/>
      <c r="C7" s="19"/>
      <c r="D7" s="19"/>
      <c r="E7" s="19"/>
      <c r="F7" s="8"/>
    </row>
    <row r="8" spans="1:14">
      <c r="A8" s="16">
        <v>1341</v>
      </c>
      <c r="B8" s="51" t="s">
        <v>5</v>
      </c>
      <c r="C8" s="82">
        <f>ROUND(VLOOKUP(A8,'Contribution Allocation_Report'!$A$9:$D$314,4,FALSE)*$C$315,0)-2</f>
        <v>542181594</v>
      </c>
      <c r="D8" s="82">
        <f>ROUND(VLOOKUP(A8,'Contribution Allocation_Report'!$A$9:$D$311,4,FALSE)*$D$315,0)+1</f>
        <v>429939178</v>
      </c>
      <c r="E8" s="82">
        <f>ROUND(VLOOKUP(A8,'Contribution Allocation_Report'!$A$9:$D$311,4,FALSE)*$E$315,0)+6</f>
        <v>337929332</v>
      </c>
      <c r="F8" s="8"/>
      <c r="H8" s="152"/>
      <c r="J8" s="59">
        <v>1341</v>
      </c>
      <c r="K8" s="282">
        <f>+A8-J8</f>
        <v>0</v>
      </c>
      <c r="N8" s="87" t="e">
        <f>+D8-#REF!</f>
        <v>#REF!</v>
      </c>
    </row>
    <row r="9" spans="1:14">
      <c r="A9" s="14">
        <v>2308</v>
      </c>
      <c r="B9" s="15" t="s">
        <v>6</v>
      </c>
      <c r="C9" s="30">
        <f>ROUND(VLOOKUP(A9,'Contribution Allocation_Report'!$A$9:$D$314,4,FALSE)*$C$315,0)</f>
        <v>1030610</v>
      </c>
      <c r="D9" s="30">
        <f>ROUND(VLOOKUP(A9,'Contribution Allocation_Report'!$A$9:$D$314,4,FALSE)*$D$315,0)</f>
        <v>817253</v>
      </c>
      <c r="E9" s="30">
        <f>ROUND(VLOOKUP(A9,'Contribution Allocation_Report'!$A$9:$D$314,4,FALSE)*$E$315,0)</f>
        <v>642356</v>
      </c>
      <c r="F9" s="8"/>
      <c r="H9" s="152"/>
      <c r="J9" s="227">
        <v>2308</v>
      </c>
      <c r="K9" s="282">
        <f t="shared" ref="K9:K73" si="0">+A9-J9</f>
        <v>0</v>
      </c>
    </row>
    <row r="10" spans="1:14">
      <c r="A10" s="16">
        <v>2340</v>
      </c>
      <c r="B10" s="17" t="s">
        <v>7</v>
      </c>
      <c r="C10" s="31">
        <f>ROUND(VLOOKUP(A10,'Contribution Allocation_Report'!$A$9:$D$314,4,FALSE)*$C$315,0)</f>
        <v>998782</v>
      </c>
      <c r="D10" s="31">
        <f>ROUND(VLOOKUP(A10,'Contribution Allocation_Report'!$A$9:$D$314,4,FALSE)*$D$315,0)</f>
        <v>792015</v>
      </c>
      <c r="E10" s="31">
        <f>ROUND(VLOOKUP(A10,'Contribution Allocation_Report'!$A$9:$D$314,4,FALSE)*$E$315,0)</f>
        <v>622518</v>
      </c>
      <c r="F10" s="8"/>
      <c r="H10" s="152"/>
      <c r="J10" s="59">
        <v>2340</v>
      </c>
      <c r="K10" s="282">
        <f t="shared" si="0"/>
        <v>0</v>
      </c>
    </row>
    <row r="11" spans="1:14">
      <c r="A11" s="14">
        <v>1301</v>
      </c>
      <c r="B11" s="15" t="s">
        <v>8</v>
      </c>
      <c r="C11" s="30">
        <f>ROUND(VLOOKUP(A11,'Contribution Allocation_Report'!$A$9:$D$314,4,FALSE)*$C$315,0)</f>
        <v>1153220</v>
      </c>
      <c r="D11" s="30">
        <f>ROUND(VLOOKUP(A11,'Contribution Allocation_Report'!$A$9:$D$314,4,FALSE)*$D$315,0)</f>
        <v>914481</v>
      </c>
      <c r="E11" s="30">
        <f>ROUND(VLOOKUP(A11,'Contribution Allocation_Report'!$A$9:$D$314,4,FALSE)*$E$315,0)</f>
        <v>718776</v>
      </c>
      <c r="F11" s="8"/>
      <c r="H11" s="152"/>
      <c r="J11" s="227">
        <v>1301</v>
      </c>
      <c r="K11" s="282">
        <f t="shared" si="0"/>
        <v>0</v>
      </c>
    </row>
    <row r="12" spans="1:14">
      <c r="A12" s="195">
        <v>2390</v>
      </c>
      <c r="B12" s="196" t="s">
        <v>9</v>
      </c>
      <c r="C12" s="214">
        <f>ROUND(VLOOKUP(A12,'Contribution Allocation_Report'!$A$9:$D$314,4,FALSE)*$C$315,0)</f>
        <v>918833</v>
      </c>
      <c r="D12" s="214">
        <f>ROUND(VLOOKUP(A12,'Contribution Allocation_Report'!$A$9:$D$314,4,FALSE)*$D$315,0)</f>
        <v>728616</v>
      </c>
      <c r="E12" s="214">
        <f>ROUND(VLOOKUP(A12,'Contribution Allocation_Report'!$A$9:$D$314,4,FALSE)*$E$315,0)</f>
        <v>572688</v>
      </c>
      <c r="F12" s="8"/>
      <c r="H12" s="152"/>
      <c r="J12" s="59">
        <v>2390</v>
      </c>
      <c r="K12" s="282">
        <f t="shared" si="0"/>
        <v>0</v>
      </c>
    </row>
    <row r="13" spans="1:14" s="190" customFormat="1">
      <c r="A13" s="193">
        <v>2441</v>
      </c>
      <c r="B13" s="194" t="s">
        <v>419</v>
      </c>
      <c r="C13" s="213">
        <f>ROUND(VLOOKUP(A13,'Contribution Allocation_Report'!$A$9:$D$314,4,FALSE)*$C$315,0)</f>
        <v>423551</v>
      </c>
      <c r="D13" s="213">
        <f>ROUND(VLOOKUP(A13,'Contribution Allocation_Report'!$A$9:$D$314,4,FALSE)*$D$315,0)</f>
        <v>335867</v>
      </c>
      <c r="E13" s="213">
        <f>ROUND(VLOOKUP(A13,'Contribution Allocation_Report'!$A$9:$D$314,4,FALSE)*$E$315,0)</f>
        <v>263989</v>
      </c>
      <c r="F13" s="192"/>
      <c r="H13" s="152"/>
      <c r="J13" s="227">
        <v>2441</v>
      </c>
      <c r="K13" s="282">
        <f t="shared" si="0"/>
        <v>0</v>
      </c>
    </row>
    <row r="14" spans="1:14">
      <c r="A14" s="195">
        <v>15046</v>
      </c>
      <c r="B14" s="196" t="s">
        <v>10</v>
      </c>
      <c r="C14" s="214">
        <f>ROUND(VLOOKUP(A14,'Contribution Allocation_Report'!$A$9:$D$314,4,FALSE)*$C$315,0)</f>
        <v>16992309</v>
      </c>
      <c r="D14" s="214">
        <f>ROUND(VLOOKUP(A14,'Contribution Allocation_Report'!$A$9:$D$314,4,FALSE)*$D$315,0)</f>
        <v>13474561</v>
      </c>
      <c r="E14" s="214">
        <f>ROUND(VLOOKUP(A14,'Contribution Allocation_Report'!$A$9:$D$314,4,FALSE)*$E$315,0)</f>
        <v>10590915</v>
      </c>
      <c r="F14" s="8"/>
      <c r="J14" s="59">
        <v>15046</v>
      </c>
      <c r="K14" s="282">
        <f t="shared" si="0"/>
        <v>0</v>
      </c>
    </row>
    <row r="15" spans="1:14">
      <c r="A15" s="193">
        <v>4380</v>
      </c>
      <c r="B15" s="194" t="s">
        <v>11</v>
      </c>
      <c r="C15" s="213">
        <f>ROUND(VLOOKUP(A15,'Contribution Allocation_Report'!$A$9:$D$314,4,FALSE)*$C$315,0)</f>
        <v>13923912</v>
      </c>
      <c r="D15" s="213">
        <f>ROUND(VLOOKUP(A15,'Contribution Allocation_Report'!$A$9:$D$314,4,FALSE)*$D$315,0)</f>
        <v>11041384</v>
      </c>
      <c r="E15" s="213">
        <f>ROUND(VLOOKUP(A15,'Contribution Allocation_Report'!$A$9:$D$314,4,FALSE)*$E$315,0)</f>
        <v>8678454</v>
      </c>
      <c r="F15" s="8"/>
      <c r="J15" s="227">
        <v>4380</v>
      </c>
      <c r="K15" s="282">
        <f t="shared" si="0"/>
        <v>0</v>
      </c>
    </row>
    <row r="16" spans="1:14" s="190" customFormat="1">
      <c r="A16" s="195">
        <v>2343</v>
      </c>
      <c r="B16" s="210" t="s">
        <v>420</v>
      </c>
      <c r="C16" s="214">
        <f>ROUND(VLOOKUP(A16,'Contribution Allocation_Report'!$A$9:$D$314,4,FALSE)*$C$315,0)</f>
        <v>1342543</v>
      </c>
      <c r="D16" s="214">
        <f>ROUND(VLOOKUP(A16,'Contribution Allocation_Report'!$A$9:$D$314,4,FALSE)*$D$315,0)</f>
        <v>1064610</v>
      </c>
      <c r="E16" s="214">
        <f>ROUND(VLOOKUP(A16,'Contribution Allocation_Report'!$A$9:$D$314,4,FALSE)*$E$315,0)</f>
        <v>836776</v>
      </c>
      <c r="F16" s="192"/>
      <c r="J16" s="59">
        <v>2343</v>
      </c>
      <c r="K16" s="282">
        <f t="shared" si="0"/>
        <v>0</v>
      </c>
    </row>
    <row r="17" spans="1:11">
      <c r="A17" s="193">
        <v>2435</v>
      </c>
      <c r="B17" s="194" t="s">
        <v>396</v>
      </c>
      <c r="C17" s="213">
        <f>ROUND(VLOOKUP(A17,'Contribution Allocation_Report'!$A$9:$D$314,4,FALSE)*$C$315,0)</f>
        <v>532801</v>
      </c>
      <c r="D17" s="213">
        <f>ROUND(VLOOKUP(A17,'Contribution Allocation_Report'!$A$9:$D$314,4,FALSE)*$D$315,0)</f>
        <v>422500</v>
      </c>
      <c r="E17" s="213">
        <f>ROUND(VLOOKUP(A17,'Contribution Allocation_Report'!$A$9:$D$314,4,FALSE)*$E$315,0)</f>
        <v>332082</v>
      </c>
      <c r="F17" s="8"/>
      <c r="J17" s="227">
        <v>2435</v>
      </c>
      <c r="K17" s="282">
        <f t="shared" si="0"/>
        <v>0</v>
      </c>
    </row>
    <row r="18" spans="1:11">
      <c r="A18" s="195">
        <v>4560</v>
      </c>
      <c r="B18" s="196" t="s">
        <v>12</v>
      </c>
      <c r="C18" s="214">
        <f>ROUND(VLOOKUP(A18,'Contribution Allocation_Report'!$A$9:$D$314,4,FALSE)*$C$315,0)</f>
        <v>1354631</v>
      </c>
      <c r="D18" s="214">
        <f>ROUND(VLOOKUP(A18,'Contribution Allocation_Report'!$A$9:$D$314,4,FALSE)*$D$315,0)</f>
        <v>1074195</v>
      </c>
      <c r="E18" s="214">
        <f>ROUND(VLOOKUP(A18,'Contribution Allocation_Report'!$A$9:$D$314,4,FALSE)*$E$315,0)</f>
        <v>844310</v>
      </c>
      <c r="F18" s="8"/>
      <c r="J18" s="59">
        <v>4560</v>
      </c>
      <c r="K18" s="282">
        <f t="shared" si="0"/>
        <v>0</v>
      </c>
    </row>
    <row r="19" spans="1:11">
      <c r="A19" s="193">
        <v>2341</v>
      </c>
      <c r="B19" s="194" t="s">
        <v>417</v>
      </c>
      <c r="C19" s="213">
        <f>ROUND(VLOOKUP(A19,'Contribution Allocation_Report'!$A$9:$D$314,4,FALSE)*$C$315,0)</f>
        <v>767347</v>
      </c>
      <c r="D19" s="213">
        <f>ROUND(VLOOKUP(A19,'Contribution Allocation_Report'!$A$9:$D$314,4,FALSE)*$D$315,0)</f>
        <v>608491</v>
      </c>
      <c r="E19" s="213">
        <f>ROUND(VLOOKUP(A19,'Contribution Allocation_Report'!$A$9:$D$314,4,FALSE)*$E$315,0)</f>
        <v>478270</v>
      </c>
      <c r="F19" s="8"/>
      <c r="J19" s="227">
        <v>2341</v>
      </c>
      <c r="K19" s="282">
        <f t="shared" si="0"/>
        <v>0</v>
      </c>
    </row>
    <row r="20" spans="1:11">
      <c r="A20" s="195">
        <v>4580</v>
      </c>
      <c r="B20" s="196" t="s">
        <v>397</v>
      </c>
      <c r="C20" s="214">
        <f>ROUND(VLOOKUP(A20,'Contribution Allocation_Report'!$A$9:$D$314,4,FALSE)*$C$315,0)</f>
        <v>786698</v>
      </c>
      <c r="D20" s="214">
        <f>ROUND(VLOOKUP(A20,'Contribution Allocation_Report'!$A$9:$D$314,4,FALSE)*$D$315,0)</f>
        <v>623836</v>
      </c>
      <c r="E20" s="214">
        <f>ROUND(VLOOKUP(A20,'Contribution Allocation_Report'!$A$9:$D$314,4,FALSE)*$E$315,0)</f>
        <v>490331</v>
      </c>
      <c r="F20" s="8"/>
      <c r="J20" s="59">
        <v>4580</v>
      </c>
      <c r="K20" s="282">
        <f t="shared" si="0"/>
        <v>0</v>
      </c>
    </row>
    <row r="21" spans="1:11">
      <c r="A21" s="193">
        <v>2003</v>
      </c>
      <c r="B21" s="194" t="s">
        <v>13</v>
      </c>
      <c r="C21" s="213">
        <f>ROUND(VLOOKUP(A21,'Contribution Allocation_Report'!$A$9:$D$314,4,FALSE)*$C$315,0)</f>
        <v>248951226</v>
      </c>
      <c r="D21" s="213">
        <f>ROUND(VLOOKUP(A21,'Contribution Allocation_Report'!$A$9:$D$314,4,FALSE)*$D$315,0)</f>
        <v>197413350</v>
      </c>
      <c r="E21" s="213">
        <f>ROUND(VLOOKUP(A21,'Contribution Allocation_Report'!$A$9:$D$314,4,FALSE)*$E$315,0)</f>
        <v>155165577</v>
      </c>
      <c r="F21" s="8"/>
      <c r="J21" s="227">
        <v>2003</v>
      </c>
      <c r="K21" s="282">
        <f t="shared" si="0"/>
        <v>0</v>
      </c>
    </row>
    <row r="22" spans="1:11">
      <c r="A22" s="195">
        <v>2412</v>
      </c>
      <c r="B22" s="196" t="s">
        <v>14</v>
      </c>
      <c r="C22" s="214">
        <f>ROUND(VLOOKUP(A22,'Contribution Allocation_Report'!$A$9:$D$314,4,FALSE)*$C$315,0)</f>
        <v>2404009</v>
      </c>
      <c r="D22" s="214">
        <f>ROUND(VLOOKUP(A22,'Contribution Allocation_Report'!$A$9:$D$314,4,FALSE)*$D$315,0)</f>
        <v>1906331</v>
      </c>
      <c r="E22" s="214">
        <f>ROUND(VLOOKUP(A22,'Contribution Allocation_Report'!$A$9:$D$314,4,FALSE)*$E$315,0)</f>
        <v>1498364</v>
      </c>
      <c r="F22" s="8"/>
      <c r="J22" s="59">
        <v>2412</v>
      </c>
      <c r="K22" s="282">
        <f t="shared" si="0"/>
        <v>0</v>
      </c>
    </row>
    <row r="23" spans="1:11">
      <c r="A23" s="193">
        <v>2402</v>
      </c>
      <c r="B23" s="194" t="s">
        <v>15</v>
      </c>
      <c r="C23" s="213">
        <f>ROUND(VLOOKUP(A23,'Contribution Allocation_Report'!$A$9:$D$314,4,FALSE)*$C$315,0)</f>
        <v>1193460</v>
      </c>
      <c r="D23" s="213">
        <f>ROUND(VLOOKUP(A23,'Contribution Allocation_Report'!$A$9:$D$314,4,FALSE)*$D$315,0)</f>
        <v>946390</v>
      </c>
      <c r="E23" s="213">
        <f>ROUND(VLOOKUP(A23,'Contribution Allocation_Report'!$A$9:$D$314,4,FALSE)*$E$315,0)</f>
        <v>743856</v>
      </c>
      <c r="F23" s="8"/>
      <c r="J23" s="227">
        <v>2402</v>
      </c>
      <c r="K23" s="282">
        <f t="shared" si="0"/>
        <v>0</v>
      </c>
    </row>
    <row r="24" spans="1:11">
      <c r="A24" s="195">
        <v>2361</v>
      </c>
      <c r="B24" s="196" t="s">
        <v>16</v>
      </c>
      <c r="C24" s="214">
        <f>ROUND(VLOOKUP(A24,'Contribution Allocation_Report'!$A$9:$D$314,4,FALSE)*$C$315,0)</f>
        <v>401779</v>
      </c>
      <c r="D24" s="214">
        <f>ROUND(VLOOKUP(A24,'Contribution Allocation_Report'!$A$9:$D$314,4,FALSE)*$D$315,0)</f>
        <v>318602</v>
      </c>
      <c r="E24" s="214">
        <f>ROUND(VLOOKUP(A24,'Contribution Allocation_Report'!$A$9:$D$314,4,FALSE)*$E$315,0)</f>
        <v>250419</v>
      </c>
      <c r="F24" s="8"/>
      <c r="J24" s="59">
        <v>2361</v>
      </c>
      <c r="K24" s="282">
        <f t="shared" si="0"/>
        <v>0</v>
      </c>
    </row>
    <row r="25" spans="1:11">
      <c r="A25" s="193">
        <v>8347</v>
      </c>
      <c r="B25" s="194" t="s">
        <v>17</v>
      </c>
      <c r="C25" s="213">
        <f>ROUND(VLOOKUP(A25,'Contribution Allocation_Report'!$A$9:$D$314,4,FALSE)*$C$315,0)</f>
        <v>758882</v>
      </c>
      <c r="D25" s="213">
        <f>ROUND(VLOOKUP(A25,'Contribution Allocation_Report'!$A$9:$D$314,4,FALSE)*$D$315,0)</f>
        <v>601778</v>
      </c>
      <c r="E25" s="213">
        <f>ROUND(VLOOKUP(A25,'Contribution Allocation_Report'!$A$9:$D$314,4,FALSE)*$E$315,0)</f>
        <v>472994</v>
      </c>
      <c r="F25" s="8"/>
      <c r="J25" s="227">
        <v>8347</v>
      </c>
      <c r="K25" s="282">
        <f t="shared" si="0"/>
        <v>0</v>
      </c>
    </row>
    <row r="26" spans="1:11">
      <c r="A26" s="195">
        <v>2356</v>
      </c>
      <c r="B26" s="196" t="s">
        <v>18</v>
      </c>
      <c r="C26" s="214">
        <f>ROUND(VLOOKUP(A26,'Contribution Allocation_Report'!$A$9:$D$314,4,FALSE)*$C$315,0)</f>
        <v>1366648</v>
      </c>
      <c r="D26" s="214">
        <f>ROUND(VLOOKUP(A26,'Contribution Allocation_Report'!$A$9:$D$314,4,FALSE)*$D$315,0)</f>
        <v>1083725</v>
      </c>
      <c r="E26" s="214">
        <f>ROUND(VLOOKUP(A26,'Contribution Allocation_Report'!$A$9:$D$314,4,FALSE)*$E$315,0)</f>
        <v>851800</v>
      </c>
      <c r="F26" s="8"/>
      <c r="J26" s="59">
        <v>2356</v>
      </c>
      <c r="K26" s="282">
        <f t="shared" si="0"/>
        <v>0</v>
      </c>
    </row>
    <row r="27" spans="1:11">
      <c r="A27" s="193">
        <v>7335</v>
      </c>
      <c r="B27" s="194" t="s">
        <v>19</v>
      </c>
      <c r="C27" s="213">
        <f>ROUND(VLOOKUP(A27,'Contribution Allocation_Report'!$A$9:$D$314,4,FALSE)*$C$315,0)</f>
        <v>377249</v>
      </c>
      <c r="D27" s="213">
        <f>ROUND(VLOOKUP(A27,'Contribution Allocation_Report'!$A$9:$D$314,4,FALSE)*$D$315,0)</f>
        <v>299151</v>
      </c>
      <c r="E27" s="213">
        <f>ROUND(VLOOKUP(A27,'Contribution Allocation_Report'!$A$9:$D$314,4,FALSE)*$E$315,0)</f>
        <v>235131</v>
      </c>
      <c r="F27" s="8"/>
      <c r="J27" s="227">
        <v>7335</v>
      </c>
      <c r="K27" s="282">
        <f t="shared" si="0"/>
        <v>0</v>
      </c>
    </row>
    <row r="28" spans="1:11">
      <c r="A28" s="195">
        <v>575</v>
      </c>
      <c r="B28" s="196" t="s">
        <v>398</v>
      </c>
      <c r="C28" s="214">
        <f>ROUND(VLOOKUP(A28,'Contribution Allocation_Report'!$A$9:$D$314,4,FALSE)*$C$315,0)</f>
        <v>488991</v>
      </c>
      <c r="D28" s="214">
        <f>ROUND(VLOOKUP(A28,'Contribution Allocation_Report'!$A$9:$D$314,4,FALSE)*$D$315,0)</f>
        <v>387760</v>
      </c>
      <c r="E28" s="214">
        <f>ROUND(VLOOKUP(A28,'Contribution Allocation_Report'!$A$9:$D$314,4,FALSE)*$E$315,0)</f>
        <v>304777</v>
      </c>
      <c r="F28" s="8"/>
      <c r="J28" s="59">
        <v>575</v>
      </c>
      <c r="K28" s="282">
        <f t="shared" si="0"/>
        <v>0</v>
      </c>
    </row>
    <row r="29" spans="1:11">
      <c r="A29" s="193">
        <v>2303</v>
      </c>
      <c r="B29" s="194" t="s">
        <v>20</v>
      </c>
      <c r="C29" s="213">
        <f>ROUND(VLOOKUP(A29,'Contribution Allocation_Report'!$A$9:$D$314,4,FALSE)*$C$315,0)</f>
        <v>844963</v>
      </c>
      <c r="D29" s="213">
        <f>ROUND(VLOOKUP(A29,'Contribution Allocation_Report'!$A$9:$D$314,4,FALSE)*$D$315,0)</f>
        <v>670039</v>
      </c>
      <c r="E29" s="213">
        <f>ROUND(VLOOKUP(A29,'Contribution Allocation_Report'!$A$9:$D$314,4,FALSE)*$E$315,0)</f>
        <v>526646</v>
      </c>
      <c r="F29" s="8"/>
      <c r="J29" s="227">
        <v>2303</v>
      </c>
      <c r="K29" s="282">
        <f t="shared" si="0"/>
        <v>0</v>
      </c>
    </row>
    <row r="30" spans="1:11">
      <c r="A30" s="195">
        <v>20316</v>
      </c>
      <c r="B30" s="196" t="s">
        <v>21</v>
      </c>
      <c r="C30" s="214">
        <f>ROUND(VLOOKUP(A30,'Contribution Allocation_Report'!$A$9:$D$314,4,FALSE)*$C$315,0)</f>
        <v>597375</v>
      </c>
      <c r="D30" s="214">
        <f>ROUND(VLOOKUP(A30,'Contribution Allocation_Report'!$A$9:$D$314,4,FALSE)*$D$315,0)</f>
        <v>473706</v>
      </c>
      <c r="E30" s="214">
        <f>ROUND(VLOOKUP(A30,'Contribution Allocation_Report'!$A$9:$D$314,4,FALSE)*$E$315,0)</f>
        <v>372330</v>
      </c>
      <c r="F30" s="8"/>
      <c r="J30" s="59">
        <v>20316</v>
      </c>
      <c r="K30" s="282">
        <f t="shared" si="0"/>
        <v>0</v>
      </c>
    </row>
    <row r="31" spans="1:11">
      <c r="A31" s="193">
        <v>23121</v>
      </c>
      <c r="B31" s="194" t="s">
        <v>22</v>
      </c>
      <c r="C31" s="213">
        <f>ROUND(VLOOKUP(A31,'Contribution Allocation_Report'!$A$9:$D$314,4,FALSE)*$C$315,0)</f>
        <v>729599</v>
      </c>
      <c r="D31" s="213">
        <f>ROUND(VLOOKUP(A31,'Contribution Allocation_Report'!$A$9:$D$314,4,FALSE)*$D$315,0)</f>
        <v>578557</v>
      </c>
      <c r="E31" s="213">
        <f>ROUND(VLOOKUP(A31,'Contribution Allocation_Report'!$A$9:$D$314,4,FALSE)*$E$315,0)</f>
        <v>454742</v>
      </c>
      <c r="F31" s="8"/>
      <c r="J31" s="227">
        <v>23121</v>
      </c>
      <c r="K31" s="282">
        <f t="shared" si="0"/>
        <v>0</v>
      </c>
    </row>
    <row r="32" spans="1:11">
      <c r="A32" s="195">
        <v>3004</v>
      </c>
      <c r="B32" s="196" t="s">
        <v>23</v>
      </c>
      <c r="C32" s="214">
        <f>ROUND(VLOOKUP(A32,'Contribution Allocation_Report'!$A$9:$D$314,4,FALSE)*$C$315,0)</f>
        <v>10661579</v>
      </c>
      <c r="D32" s="214">
        <f>ROUND(VLOOKUP(A32,'Contribution Allocation_Report'!$A$9:$D$314,4,FALSE)*$D$315,0)</f>
        <v>8454419</v>
      </c>
      <c r="E32" s="214">
        <f>ROUND(VLOOKUP(A32,'Contribution Allocation_Report'!$A$9:$D$314,4,FALSE)*$E$315,0)</f>
        <v>6645117</v>
      </c>
      <c r="F32" s="8"/>
      <c r="J32" s="59">
        <v>3004</v>
      </c>
      <c r="K32" s="282">
        <f t="shared" si="0"/>
        <v>0</v>
      </c>
    </row>
    <row r="33" spans="1:11">
      <c r="A33" s="193">
        <v>16050</v>
      </c>
      <c r="B33" s="194" t="s">
        <v>24</v>
      </c>
      <c r="C33" s="213">
        <f>ROUND(VLOOKUP(A33,'Contribution Allocation_Report'!$A$9:$D$314,4,FALSE)*$C$315,0)</f>
        <v>6991901</v>
      </c>
      <c r="D33" s="213">
        <f>ROUND(VLOOKUP(A33,'Contribution Allocation_Report'!$A$9:$D$314,4,FALSE)*$D$315,0)</f>
        <v>5544438</v>
      </c>
      <c r="E33" s="213">
        <f>ROUND(VLOOKUP(A33,'Contribution Allocation_Report'!$A$9:$D$314,4,FALSE)*$E$315,0)</f>
        <v>4357891</v>
      </c>
      <c r="F33" s="8"/>
      <c r="J33" s="227">
        <v>16050</v>
      </c>
      <c r="K33" s="282">
        <f t="shared" si="0"/>
        <v>0</v>
      </c>
    </row>
    <row r="34" spans="1:11">
      <c r="A34" s="195">
        <v>14043</v>
      </c>
      <c r="B34" s="196" t="s">
        <v>25</v>
      </c>
      <c r="C34" s="214">
        <f>ROUND(VLOOKUP(A34,'Contribution Allocation_Report'!$A$9:$D$314,4,FALSE)*$C$315,0)</f>
        <v>10687027</v>
      </c>
      <c r="D34" s="214">
        <f>ROUND(VLOOKUP(A34,'Contribution Allocation_Report'!$A$9:$D$314,4,FALSE)*$D$315,0)</f>
        <v>8474599</v>
      </c>
      <c r="E34" s="214">
        <f>ROUND(VLOOKUP(A34,'Contribution Allocation_Report'!$A$9:$D$314,4,FALSE)*$E$315,0)</f>
        <v>6660978</v>
      </c>
      <c r="F34" s="8"/>
      <c r="J34" s="59">
        <v>14043</v>
      </c>
      <c r="K34" s="282">
        <f t="shared" si="0"/>
        <v>0</v>
      </c>
    </row>
    <row r="35" spans="1:11">
      <c r="A35" s="193">
        <v>3010</v>
      </c>
      <c r="B35" s="194" t="s">
        <v>26</v>
      </c>
      <c r="C35" s="213">
        <f>ROUND(VLOOKUP(A35,'Contribution Allocation_Report'!$A$9:$D$314,4,FALSE)*$C$315,0)</f>
        <v>65274075</v>
      </c>
      <c r="D35" s="213">
        <f>ROUND(VLOOKUP(A35,'Contribution Allocation_Report'!$A$9:$D$314,4,FALSE)*$D$315,0)</f>
        <v>51761038</v>
      </c>
      <c r="E35" s="213">
        <f>ROUND(VLOOKUP(A35,'Contribution Allocation_Report'!$A$9:$D$314,4,FALSE)*$E$315,0)</f>
        <v>40683831</v>
      </c>
      <c r="F35" s="8"/>
      <c r="J35" s="227">
        <v>3010</v>
      </c>
      <c r="K35" s="282">
        <f t="shared" si="0"/>
        <v>0</v>
      </c>
    </row>
    <row r="36" spans="1:11">
      <c r="A36" s="195">
        <v>29086</v>
      </c>
      <c r="B36" s="196" t="s">
        <v>27</v>
      </c>
      <c r="C36" s="214">
        <f>ROUND(VLOOKUP(A36,'Contribution Allocation_Report'!$A$9:$D$314,4,FALSE)*$C$315,0)</f>
        <v>12118974</v>
      </c>
      <c r="D36" s="214">
        <f>ROUND(VLOOKUP(A36,'Contribution Allocation_Report'!$A$9:$D$314,4,FALSE)*$D$315,0)</f>
        <v>9610104</v>
      </c>
      <c r="E36" s="214">
        <f>ROUND(VLOOKUP(A36,'Contribution Allocation_Report'!$A$9:$D$314,4,FALSE)*$E$315,0)</f>
        <v>7553478</v>
      </c>
      <c r="F36" s="8"/>
      <c r="J36" s="59">
        <v>29086</v>
      </c>
      <c r="K36" s="282">
        <f t="shared" si="0"/>
        <v>0</v>
      </c>
    </row>
    <row r="37" spans="1:11">
      <c r="A37" s="193">
        <v>16051</v>
      </c>
      <c r="B37" s="194" t="s">
        <v>28</v>
      </c>
      <c r="C37" s="213">
        <f>ROUND(VLOOKUP(A37,'Contribution Allocation_Report'!$A$9:$D$314,4,FALSE)*$C$315,0)</f>
        <v>8404568</v>
      </c>
      <c r="D37" s="213">
        <f>ROUND(VLOOKUP(A37,'Contribution Allocation_Report'!$A$9:$D$314,4,FALSE)*$D$315,0)</f>
        <v>6664655</v>
      </c>
      <c r="E37" s="213">
        <f>ROUND(VLOOKUP(A37,'Contribution Allocation_Report'!$A$9:$D$314,4,FALSE)*$E$315,0)</f>
        <v>5238374</v>
      </c>
      <c r="F37" s="8"/>
      <c r="J37" s="227">
        <v>16051</v>
      </c>
      <c r="K37" s="282">
        <f t="shared" si="0"/>
        <v>0</v>
      </c>
    </row>
    <row r="38" spans="1:11">
      <c r="A38" s="195">
        <v>26077</v>
      </c>
      <c r="B38" s="196" t="s">
        <v>29</v>
      </c>
      <c r="C38" s="214">
        <f>ROUND(VLOOKUP(A38,'Contribution Allocation_Report'!$A$9:$D$314,4,FALSE)*$C$315,0)</f>
        <v>1715215</v>
      </c>
      <c r="D38" s="214">
        <f>ROUND(VLOOKUP(A38,'Contribution Allocation_Report'!$A$9:$D$314,4,FALSE)*$D$315,0)</f>
        <v>1360132</v>
      </c>
      <c r="E38" s="214">
        <f>ROUND(VLOOKUP(A38,'Contribution Allocation_Report'!$A$9:$D$314,4,FALSE)*$E$315,0)</f>
        <v>1069054</v>
      </c>
      <c r="F38" s="8"/>
      <c r="J38" s="59">
        <v>26077</v>
      </c>
      <c r="K38" s="282">
        <f t="shared" si="0"/>
        <v>0</v>
      </c>
    </row>
    <row r="39" spans="1:11">
      <c r="A39" s="193">
        <v>3005</v>
      </c>
      <c r="B39" s="194" t="s">
        <v>30</v>
      </c>
      <c r="C39" s="213">
        <f>ROUND(VLOOKUP(A39,'Contribution Allocation_Report'!$A$9:$D$314,4,FALSE)*$C$315,0)</f>
        <v>21561734</v>
      </c>
      <c r="D39" s="213">
        <f>ROUND(VLOOKUP(A39,'Contribution Allocation_Report'!$A$9:$D$314,4,FALSE)*$D$315,0)</f>
        <v>17098024</v>
      </c>
      <c r="E39" s="213">
        <f>ROUND(VLOOKUP(A39,'Contribution Allocation_Report'!$A$9:$D$314,4,FALSE)*$E$315,0)</f>
        <v>13438933</v>
      </c>
      <c r="F39" s="8"/>
      <c r="J39" s="227">
        <v>3005</v>
      </c>
      <c r="K39" s="282">
        <f t="shared" si="0"/>
        <v>0</v>
      </c>
    </row>
    <row r="40" spans="1:11">
      <c r="A40" s="195">
        <v>26078</v>
      </c>
      <c r="B40" s="196" t="s">
        <v>31</v>
      </c>
      <c r="C40" s="214">
        <f>ROUND(VLOOKUP(A40,'Contribution Allocation_Report'!$A$9:$D$314,4,FALSE)*$C$315,0)</f>
        <v>691975</v>
      </c>
      <c r="D40" s="214">
        <f>ROUND(VLOOKUP(A40,'Contribution Allocation_Report'!$A$9:$D$314,4,FALSE)*$D$315,0)</f>
        <v>548722</v>
      </c>
      <c r="E40" s="214">
        <f>ROUND(VLOOKUP(A40,'Contribution Allocation_Report'!$A$9:$D$314,4,FALSE)*$E$315,0)</f>
        <v>431292</v>
      </c>
      <c r="F40" s="8"/>
      <c r="J40" s="59">
        <v>26078</v>
      </c>
      <c r="K40" s="282">
        <f t="shared" si="0"/>
        <v>0</v>
      </c>
    </row>
    <row r="41" spans="1:11">
      <c r="A41" s="193">
        <v>16053</v>
      </c>
      <c r="B41" s="194" t="s">
        <v>32</v>
      </c>
      <c r="C41" s="213">
        <f>ROUND(VLOOKUP(A41,'Contribution Allocation_Report'!$A$9:$D$314,4,FALSE)*$C$315,0)</f>
        <v>20974326</v>
      </c>
      <c r="D41" s="213">
        <f>ROUND(VLOOKUP(A41,'Contribution Allocation_Report'!$A$9:$D$314,4,FALSE)*$D$315,0)</f>
        <v>16632221</v>
      </c>
      <c r="E41" s="213">
        <f>ROUND(VLOOKUP(A41,'Contribution Allocation_Report'!$A$9:$D$314,4,FALSE)*$E$315,0)</f>
        <v>13072815</v>
      </c>
      <c r="F41" s="8"/>
      <c r="J41" s="227">
        <v>16053</v>
      </c>
      <c r="K41" s="282">
        <f t="shared" si="0"/>
        <v>0</v>
      </c>
    </row>
    <row r="42" spans="1:11">
      <c r="A42" s="195">
        <v>2123</v>
      </c>
      <c r="B42" s="196" t="s">
        <v>33</v>
      </c>
      <c r="C42" s="214">
        <f>ROUND(VLOOKUP(A42,'Contribution Allocation_Report'!$A$9:$D$314,4,FALSE)*$C$315,0)</f>
        <v>35477940</v>
      </c>
      <c r="D42" s="214">
        <f>ROUND(VLOOKUP(A42,'Contribution Allocation_Report'!$A$9:$D$314,4,FALSE)*$D$315,0)</f>
        <v>28133298</v>
      </c>
      <c r="E42" s="214">
        <f>ROUND(VLOOKUP(A42,'Contribution Allocation_Report'!$A$9:$D$314,4,FALSE)*$E$315,0)</f>
        <v>22112585</v>
      </c>
      <c r="F42" s="8"/>
      <c r="J42" s="59">
        <v>2123</v>
      </c>
      <c r="K42" s="282">
        <f t="shared" si="0"/>
        <v>0</v>
      </c>
    </row>
    <row r="43" spans="1:11">
      <c r="A43" s="193">
        <v>2150</v>
      </c>
      <c r="B43" s="194" t="s">
        <v>34</v>
      </c>
      <c r="C43" s="213">
        <f>ROUND(VLOOKUP(A43,'Contribution Allocation_Report'!$A$9:$D$314,4,FALSE)*$C$315,0)</f>
        <v>2989862</v>
      </c>
      <c r="D43" s="213">
        <f>ROUND(VLOOKUP(A43,'Contribution Allocation_Report'!$A$9:$D$314,4,FALSE)*$D$315,0)</f>
        <v>2370901</v>
      </c>
      <c r="E43" s="213">
        <f>ROUND(VLOOKUP(A43,'Contribution Allocation_Report'!$A$9:$D$314,4,FALSE)*$E$315,0)</f>
        <v>1863512</v>
      </c>
      <c r="F43" s="8"/>
      <c r="J43" s="227">
        <v>2150</v>
      </c>
      <c r="K43" s="282">
        <f t="shared" si="0"/>
        <v>0</v>
      </c>
    </row>
    <row r="44" spans="1:11">
      <c r="A44" s="195">
        <v>2336</v>
      </c>
      <c r="B44" s="196" t="s">
        <v>35</v>
      </c>
      <c r="C44" s="214">
        <f>ROUND(VLOOKUP(A44,'Contribution Allocation_Report'!$A$9:$D$314,4,FALSE)*$C$315,0)</f>
        <v>563020</v>
      </c>
      <c r="D44" s="214">
        <f>ROUND(VLOOKUP(A44,'Contribution Allocation_Report'!$A$9:$D$314,4,FALSE)*$D$315,0)</f>
        <v>446464</v>
      </c>
      <c r="E44" s="214">
        <f>ROUND(VLOOKUP(A44,'Contribution Allocation_Report'!$A$9:$D$314,4,FALSE)*$E$315,0)</f>
        <v>350918</v>
      </c>
      <c r="F44" s="8"/>
      <c r="J44" s="59">
        <v>2336</v>
      </c>
      <c r="K44" s="282">
        <f t="shared" si="0"/>
        <v>0</v>
      </c>
    </row>
    <row r="45" spans="1:11">
      <c r="A45" s="193">
        <v>17126</v>
      </c>
      <c r="B45" s="194" t="s">
        <v>36</v>
      </c>
      <c r="C45" s="213">
        <f>ROUND(VLOOKUP(A45,'Contribution Allocation_Report'!$A$9:$D$314,4,FALSE)*$C$315,0)</f>
        <v>1544908</v>
      </c>
      <c r="D45" s="213">
        <f>ROUND(VLOOKUP(A45,'Contribution Allocation_Report'!$A$9:$D$314,4,FALSE)*$D$315,0)</f>
        <v>1225081</v>
      </c>
      <c r="E45" s="213">
        <f>ROUND(VLOOKUP(A45,'Contribution Allocation_Report'!$A$9:$D$314,4,FALSE)*$E$315,0)</f>
        <v>962906</v>
      </c>
      <c r="F45" s="8"/>
      <c r="J45" s="227">
        <v>17126</v>
      </c>
      <c r="K45" s="282">
        <f t="shared" si="0"/>
        <v>0</v>
      </c>
    </row>
    <row r="46" spans="1:11">
      <c r="A46" s="195">
        <v>3030</v>
      </c>
      <c r="B46" s="196" t="s">
        <v>37</v>
      </c>
      <c r="C46" s="214">
        <f>ROUND(VLOOKUP(A46,'Contribution Allocation_Report'!$A$9:$D$314,4,FALSE)*$C$315,0)</f>
        <v>3981558</v>
      </c>
      <c r="D46" s="214">
        <f>ROUND(VLOOKUP(A46,'Contribution Allocation_Report'!$A$9:$D$314,4,FALSE)*$D$315,0)</f>
        <v>3157296</v>
      </c>
      <c r="E46" s="214">
        <f>ROUND(VLOOKUP(A46,'Contribution Allocation_Report'!$A$9:$D$314,4,FALSE)*$E$315,0)</f>
        <v>2481613</v>
      </c>
      <c r="F46" s="8"/>
      <c r="J46" s="59">
        <v>3030</v>
      </c>
      <c r="K46" s="282">
        <f t="shared" si="0"/>
        <v>0</v>
      </c>
    </row>
    <row r="47" spans="1:11">
      <c r="A47" s="193">
        <v>2353</v>
      </c>
      <c r="B47" s="194" t="s">
        <v>38</v>
      </c>
      <c r="C47" s="213">
        <f>ROUND(VLOOKUP(A47,'Contribution Allocation_Report'!$A$9:$D$314,4,FALSE)*$C$315,0)</f>
        <v>1729477</v>
      </c>
      <c r="D47" s="213">
        <f>ROUND(VLOOKUP(A47,'Contribution Allocation_Report'!$A$9:$D$314,4,FALSE)*$D$315,0)</f>
        <v>1371441</v>
      </c>
      <c r="E47" s="213">
        <f>ROUND(VLOOKUP(A47,'Contribution Allocation_Report'!$A$9:$D$314,4,FALSE)*$E$315,0)</f>
        <v>1077943</v>
      </c>
      <c r="F47" s="8"/>
      <c r="J47" s="227">
        <v>2353</v>
      </c>
      <c r="K47" s="282">
        <f t="shared" si="0"/>
        <v>0</v>
      </c>
    </row>
    <row r="48" spans="1:11">
      <c r="A48" s="195">
        <v>3040</v>
      </c>
      <c r="B48" s="196" t="s">
        <v>39</v>
      </c>
      <c r="C48" s="214">
        <f>ROUND(VLOOKUP(A48,'Contribution Allocation_Report'!$A$9:$D$314,4,FALSE)*$C$315,0)</f>
        <v>1851239</v>
      </c>
      <c r="D48" s="214">
        <f>ROUND(VLOOKUP(A48,'Contribution Allocation_Report'!$A$9:$D$314,4,FALSE)*$D$315,0)</f>
        <v>1467995</v>
      </c>
      <c r="E48" s="214">
        <f>ROUND(VLOOKUP(A48,'Contribution Allocation_Report'!$A$9:$D$314,4,FALSE)*$E$315,0)</f>
        <v>1153835</v>
      </c>
      <c r="F48" s="8"/>
      <c r="J48" s="59">
        <v>3040</v>
      </c>
      <c r="K48" s="282">
        <f t="shared" si="0"/>
        <v>0</v>
      </c>
    </row>
    <row r="49" spans="1:11">
      <c r="A49" s="193">
        <v>2367</v>
      </c>
      <c r="B49" s="194" t="s">
        <v>40</v>
      </c>
      <c r="C49" s="213">
        <f>ROUND(VLOOKUP(A49,'Contribution Allocation_Report'!$A$9:$D$314,4,FALSE)*$C$315,0)</f>
        <v>1484098</v>
      </c>
      <c r="D49" s="213">
        <f>ROUND(VLOOKUP(A49,'Contribution Allocation_Report'!$A$9:$D$314,4,FALSE)*$D$315,0)</f>
        <v>1176860</v>
      </c>
      <c r="E49" s="213">
        <f>ROUND(VLOOKUP(A49,'Contribution Allocation_Report'!$A$9:$D$314,4,FALSE)*$E$315,0)</f>
        <v>925004</v>
      </c>
      <c r="F49" s="8"/>
      <c r="J49" s="227">
        <v>2367</v>
      </c>
      <c r="K49" s="282">
        <f t="shared" si="0"/>
        <v>0</v>
      </c>
    </row>
    <row r="50" spans="1:11">
      <c r="A50" s="195">
        <v>9027</v>
      </c>
      <c r="B50" s="196" t="s">
        <v>41</v>
      </c>
      <c r="C50" s="214">
        <f>ROUND(VLOOKUP(A50,'Contribution Allocation_Report'!$A$9:$D$314,4,FALSE)*$C$315,0)</f>
        <v>1575817</v>
      </c>
      <c r="D50" s="214">
        <f>ROUND(VLOOKUP(A50,'Contribution Allocation_Report'!$A$9:$D$314,4,FALSE)*$D$315,0)</f>
        <v>1249591</v>
      </c>
      <c r="E50" s="214">
        <f>ROUND(VLOOKUP(A50,'Contribution Allocation_Report'!$A$9:$D$314,4,FALSE)*$E$315,0)</f>
        <v>982170</v>
      </c>
      <c r="F50" s="8"/>
      <c r="J50" s="59">
        <v>9027</v>
      </c>
      <c r="K50" s="282">
        <f t="shared" si="0"/>
        <v>0</v>
      </c>
    </row>
    <row r="51" spans="1:11">
      <c r="A51" s="193">
        <v>2010</v>
      </c>
      <c r="B51" s="194" t="s">
        <v>42</v>
      </c>
      <c r="C51" s="213">
        <f>ROUND(VLOOKUP(A51,'Contribution Allocation_Report'!$A$9:$D$314,4,FALSE)*$C$315,0)</f>
        <v>5896293</v>
      </c>
      <c r="D51" s="213">
        <f>ROUND(VLOOKUP(A51,'Contribution Allocation_Report'!$A$9:$D$314,4,FALSE)*$D$315,0)</f>
        <v>4675642</v>
      </c>
      <c r="E51" s="213">
        <f>ROUND(VLOOKUP(A51,'Contribution Allocation_Report'!$A$9:$D$314,4,FALSE)*$E$315,0)</f>
        <v>3675024</v>
      </c>
      <c r="F51" s="8"/>
      <c r="J51" s="227">
        <v>2010</v>
      </c>
      <c r="K51" s="282">
        <f t="shared" si="0"/>
        <v>0</v>
      </c>
    </row>
    <row r="52" spans="1:11">
      <c r="A52" s="195">
        <v>2020</v>
      </c>
      <c r="B52" s="196" t="s">
        <v>43</v>
      </c>
      <c r="C52" s="214">
        <f>ROUND(VLOOKUP(A52,'Contribution Allocation_Report'!$A$9:$D$314,4,FALSE)*$C$315,0)</f>
        <v>146337563</v>
      </c>
      <c r="D52" s="214">
        <f>ROUND(VLOOKUP(A52,'Contribution Allocation_Report'!$A$9:$D$314,4,FALSE)*$D$315,0)</f>
        <v>116042765</v>
      </c>
      <c r="E52" s="214">
        <f>ROUND(VLOOKUP(A52,'Contribution Allocation_Report'!$A$9:$D$314,4,FALSE)*$E$315,0)</f>
        <v>91208839</v>
      </c>
      <c r="F52" s="8"/>
      <c r="J52" s="59">
        <v>2020</v>
      </c>
      <c r="K52" s="282">
        <f t="shared" si="0"/>
        <v>0</v>
      </c>
    </row>
    <row r="53" spans="1:11">
      <c r="A53" s="193">
        <v>2040</v>
      </c>
      <c r="B53" s="194" t="s">
        <v>44</v>
      </c>
      <c r="C53" s="213">
        <f>ROUND(VLOOKUP(A53,'Contribution Allocation_Report'!$A$9:$D$314,4,FALSE)*$C$315,0)</f>
        <v>1989736</v>
      </c>
      <c r="D53" s="213">
        <f>ROUND(VLOOKUP(A53,'Contribution Allocation_Report'!$A$9:$D$314,4,FALSE)*$D$315,0)</f>
        <v>1577821</v>
      </c>
      <c r="E53" s="213">
        <f>ROUND(VLOOKUP(A53,'Contribution Allocation_Report'!$A$9:$D$314,4,FALSE)*$E$315,0)</f>
        <v>1240157</v>
      </c>
      <c r="F53" s="8"/>
      <c r="J53" s="227">
        <v>2040</v>
      </c>
      <c r="K53" s="282">
        <f t="shared" si="0"/>
        <v>0</v>
      </c>
    </row>
    <row r="54" spans="1:11">
      <c r="A54" s="195">
        <v>2060</v>
      </c>
      <c r="B54" s="196" t="s">
        <v>45</v>
      </c>
      <c r="C54" s="214">
        <f>ROUND(VLOOKUP(A54,'Contribution Allocation_Report'!$A$9:$D$314,4,FALSE)*$C$315,0)</f>
        <v>2871952</v>
      </c>
      <c r="D54" s="214">
        <f>ROUND(VLOOKUP(A54,'Contribution Allocation_Report'!$A$9:$D$314,4,FALSE)*$D$315,0)</f>
        <v>2277401</v>
      </c>
      <c r="E54" s="214">
        <f>ROUND(VLOOKUP(A54,'Contribution Allocation_Report'!$A$9:$D$314,4,FALSE)*$E$315,0)</f>
        <v>1790022</v>
      </c>
      <c r="F54" s="8"/>
      <c r="J54" s="59">
        <v>2060</v>
      </c>
      <c r="K54" s="282">
        <f t="shared" si="0"/>
        <v>0</v>
      </c>
    </row>
    <row r="55" spans="1:11">
      <c r="A55" s="193">
        <v>2090</v>
      </c>
      <c r="B55" s="194" t="s">
        <v>46</v>
      </c>
      <c r="C55" s="213">
        <f>ROUND(VLOOKUP(A55,'Contribution Allocation_Report'!$A$9:$D$314,4,FALSE)*$C$315,0)</f>
        <v>1699947</v>
      </c>
      <c r="D55" s="213">
        <f>ROUND(VLOOKUP(A55,'Contribution Allocation_Report'!$A$9:$D$314,4,FALSE)*$D$315,0)</f>
        <v>1348024</v>
      </c>
      <c r="E55" s="213">
        <f>ROUND(VLOOKUP(A55,'Contribution Allocation_Report'!$A$9:$D$314,4,FALSE)*$E$315,0)</f>
        <v>1059538</v>
      </c>
      <c r="F55" s="8"/>
      <c r="J55" s="227">
        <v>2090</v>
      </c>
      <c r="K55" s="282">
        <f t="shared" si="0"/>
        <v>0</v>
      </c>
    </row>
    <row r="56" spans="1:11">
      <c r="A56" s="195">
        <v>2110</v>
      </c>
      <c r="B56" s="196" t="s">
        <v>47</v>
      </c>
      <c r="C56" s="214">
        <f>ROUND(VLOOKUP(A56,'Contribution Allocation_Report'!$A$9:$D$314,4,FALSE)*$C$315,0)</f>
        <v>11694504</v>
      </c>
      <c r="D56" s="214">
        <f>ROUND(VLOOKUP(A56,'Contribution Allocation_Report'!$A$9:$D$314,4,FALSE)*$D$315,0)</f>
        <v>9273508</v>
      </c>
      <c r="E56" s="214">
        <f>ROUND(VLOOKUP(A56,'Contribution Allocation_Report'!$A$9:$D$314,4,FALSE)*$E$315,0)</f>
        <v>7288916</v>
      </c>
      <c r="F56" s="8"/>
      <c r="J56" s="59">
        <v>2110</v>
      </c>
      <c r="K56" s="282">
        <f t="shared" si="0"/>
        <v>0</v>
      </c>
    </row>
    <row r="57" spans="1:11">
      <c r="A57" s="193">
        <v>2180</v>
      </c>
      <c r="B57" s="194" t="s">
        <v>48</v>
      </c>
      <c r="C57" s="213">
        <f>ROUND(VLOOKUP(A57,'Contribution Allocation_Report'!$A$9:$D$314,4,FALSE)*$C$315,0)</f>
        <v>5840572</v>
      </c>
      <c r="D57" s="213">
        <f>ROUND(VLOOKUP(A57,'Contribution Allocation_Report'!$A$9:$D$314,4,FALSE)*$D$315,0)</f>
        <v>4631457</v>
      </c>
      <c r="E57" s="213">
        <f>ROUND(VLOOKUP(A57,'Contribution Allocation_Report'!$A$9:$D$314,4,FALSE)*$E$315,0)</f>
        <v>3640294</v>
      </c>
      <c r="F57" s="8"/>
      <c r="J57" s="227">
        <v>2180</v>
      </c>
      <c r="K57" s="282">
        <f t="shared" si="0"/>
        <v>0</v>
      </c>
    </row>
    <row r="58" spans="1:11">
      <c r="A58" s="195">
        <v>2210</v>
      </c>
      <c r="B58" s="196" t="s">
        <v>49</v>
      </c>
      <c r="C58" s="214">
        <f>ROUND(VLOOKUP(A58,'Contribution Allocation_Report'!$A$9:$D$314,4,FALSE)*$C$315,0)</f>
        <v>2635639</v>
      </c>
      <c r="D58" s="214">
        <f>ROUND(VLOOKUP(A58,'Contribution Allocation_Report'!$A$9:$D$314,4,FALSE)*$D$315,0)</f>
        <v>2090009</v>
      </c>
      <c r="E58" s="214">
        <f>ROUND(VLOOKUP(A58,'Contribution Allocation_Report'!$A$9:$D$314,4,FALSE)*$E$315,0)</f>
        <v>1642733</v>
      </c>
      <c r="F58" s="8"/>
      <c r="J58" s="59">
        <v>2210</v>
      </c>
      <c r="K58" s="282">
        <f t="shared" si="0"/>
        <v>0</v>
      </c>
    </row>
    <row r="59" spans="1:11">
      <c r="A59" s="193">
        <v>2290</v>
      </c>
      <c r="B59" s="194" t="s">
        <v>50</v>
      </c>
      <c r="C59" s="213">
        <f>ROUND(VLOOKUP(A59,'Contribution Allocation_Report'!$A$9:$D$314,4,FALSE)*$C$315,0)</f>
        <v>2837492</v>
      </c>
      <c r="D59" s="213">
        <f>ROUND(VLOOKUP(A59,'Contribution Allocation_Report'!$A$9:$D$314,4,FALSE)*$D$315,0)</f>
        <v>2250074</v>
      </c>
      <c r="E59" s="213">
        <f>ROUND(VLOOKUP(A59,'Contribution Allocation_Report'!$A$9:$D$314,4,FALSE)*$E$315,0)</f>
        <v>1768543</v>
      </c>
      <c r="F59" s="8"/>
      <c r="J59" s="227">
        <v>2290</v>
      </c>
      <c r="K59" s="282">
        <f t="shared" si="0"/>
        <v>0</v>
      </c>
    </row>
    <row r="60" spans="1:11">
      <c r="A60" s="195">
        <v>2310</v>
      </c>
      <c r="B60" s="196" t="s">
        <v>51</v>
      </c>
      <c r="C60" s="214">
        <f>ROUND(VLOOKUP(A60,'Contribution Allocation_Report'!$A$9:$D$314,4,FALSE)*$C$315,0)</f>
        <v>20538634</v>
      </c>
      <c r="D60" s="214">
        <f>ROUND(VLOOKUP(A60,'Contribution Allocation_Report'!$A$9:$D$314,4,FALSE)*$D$315,0)</f>
        <v>16286727</v>
      </c>
      <c r="E60" s="214">
        <f>ROUND(VLOOKUP(A60,'Contribution Allocation_Report'!$A$9:$D$314,4,FALSE)*$E$315,0)</f>
        <v>12801259</v>
      </c>
      <c r="F60" s="8"/>
      <c r="J60" s="59">
        <v>2310</v>
      </c>
      <c r="K60" s="282">
        <f t="shared" si="0"/>
        <v>0</v>
      </c>
    </row>
    <row r="61" spans="1:11">
      <c r="A61" s="193">
        <v>2330</v>
      </c>
      <c r="B61" s="194" t="s">
        <v>52</v>
      </c>
      <c r="C61" s="213">
        <f>ROUND(VLOOKUP(A61,'Contribution Allocation_Report'!$A$9:$D$314,4,FALSE)*$C$315,0)</f>
        <v>6491600</v>
      </c>
      <c r="D61" s="213">
        <f>ROUND(VLOOKUP(A61,'Contribution Allocation_Report'!$A$9:$D$314,4,FALSE)*$D$315,0)</f>
        <v>5147709</v>
      </c>
      <c r="E61" s="213">
        <f>ROUND(VLOOKUP(A61,'Contribution Allocation_Report'!$A$9:$D$314,4,FALSE)*$E$315,0)</f>
        <v>4046065</v>
      </c>
      <c r="F61" s="8"/>
      <c r="J61" s="227">
        <v>2330</v>
      </c>
      <c r="K61" s="282">
        <f t="shared" si="0"/>
        <v>0</v>
      </c>
    </row>
    <row r="62" spans="1:11">
      <c r="A62" s="195">
        <v>2380</v>
      </c>
      <c r="B62" s="196" t="s">
        <v>53</v>
      </c>
      <c r="C62" s="214">
        <f>ROUND(VLOOKUP(A62,'Contribution Allocation_Report'!$A$9:$D$314,4,FALSE)*$C$315,0)</f>
        <v>1281892</v>
      </c>
      <c r="D62" s="214">
        <f>ROUND(VLOOKUP(A62,'Contribution Allocation_Report'!$A$9:$D$314,4,FALSE)*$D$315,0)</f>
        <v>1016515</v>
      </c>
      <c r="E62" s="214">
        <f>ROUND(VLOOKUP(A62,'Contribution Allocation_Report'!$A$9:$D$314,4,FALSE)*$E$315,0)</f>
        <v>798974</v>
      </c>
      <c r="F62" s="8"/>
      <c r="J62" s="59">
        <v>2380</v>
      </c>
      <c r="K62" s="282">
        <f t="shared" si="0"/>
        <v>0</v>
      </c>
    </row>
    <row r="63" spans="1:11">
      <c r="A63" s="193">
        <v>2400</v>
      </c>
      <c r="B63" s="194" t="s">
        <v>54</v>
      </c>
      <c r="C63" s="213">
        <f>ROUND(VLOOKUP(A63,'Contribution Allocation_Report'!$A$9:$D$314,4,FALSE)*$C$315,0)</f>
        <v>36097299</v>
      </c>
      <c r="D63" s="213">
        <f>ROUND(VLOOKUP(A63,'Contribution Allocation_Report'!$A$9:$D$314,4,FALSE)*$D$315,0)</f>
        <v>28624437</v>
      </c>
      <c r="E63" s="213">
        <f>ROUND(VLOOKUP(A63,'Contribution Allocation_Report'!$A$9:$D$314,4,FALSE)*$E$315,0)</f>
        <v>22498617</v>
      </c>
      <c r="F63" s="8"/>
      <c r="J63" s="227">
        <v>2400</v>
      </c>
      <c r="K63" s="282">
        <f t="shared" si="0"/>
        <v>0</v>
      </c>
    </row>
    <row r="64" spans="1:11">
      <c r="A64" s="195">
        <v>2410</v>
      </c>
      <c r="B64" s="196" t="s">
        <v>55</v>
      </c>
      <c r="C64" s="214">
        <f>ROUND(VLOOKUP(A64,'Contribution Allocation_Report'!$A$9:$D$314,4,FALSE)*$C$315,0)</f>
        <v>3592220</v>
      </c>
      <c r="D64" s="214">
        <f>ROUND(VLOOKUP(A64,'Contribution Allocation_Report'!$A$9:$D$314,4,FALSE)*$D$315,0)</f>
        <v>2848559</v>
      </c>
      <c r="E64" s="214">
        <f>ROUND(VLOOKUP(A64,'Contribution Allocation_Report'!$A$9:$D$314,4,FALSE)*$E$315,0)</f>
        <v>2238948</v>
      </c>
      <c r="F64" s="8"/>
      <c r="J64" s="59">
        <v>2410</v>
      </c>
      <c r="K64" s="282">
        <f t="shared" si="0"/>
        <v>0</v>
      </c>
    </row>
    <row r="65" spans="1:11">
      <c r="A65" s="193">
        <v>2500</v>
      </c>
      <c r="B65" s="194" t="s">
        <v>56</v>
      </c>
      <c r="C65" s="213">
        <f>ROUND(VLOOKUP(A65,'Contribution Allocation_Report'!$A$9:$D$314,4,FALSE)*$C$315,0)</f>
        <v>659581</v>
      </c>
      <c r="D65" s="213">
        <f>ROUND(VLOOKUP(A65,'Contribution Allocation_Report'!$A$9:$D$314,4,FALSE)*$D$315,0)</f>
        <v>523035</v>
      </c>
      <c r="E65" s="213">
        <f>ROUND(VLOOKUP(A65,'Contribution Allocation_Report'!$A$9:$D$314,4,FALSE)*$E$315,0)</f>
        <v>411102</v>
      </c>
      <c r="F65" s="8"/>
      <c r="J65" s="227">
        <v>2500</v>
      </c>
      <c r="K65" s="282">
        <f t="shared" si="0"/>
        <v>0</v>
      </c>
    </row>
    <row r="66" spans="1:11">
      <c r="A66" s="195">
        <v>2550</v>
      </c>
      <c r="B66" s="196" t="s">
        <v>57</v>
      </c>
      <c r="C66" s="214">
        <f>ROUND(VLOOKUP(A66,'Contribution Allocation_Report'!$A$9:$D$314,4,FALSE)*$C$315,0)</f>
        <v>2452449</v>
      </c>
      <c r="D66" s="214">
        <f>ROUND(VLOOKUP(A66,'Contribution Allocation_Report'!$A$9:$D$314,4,FALSE)*$D$315,0)</f>
        <v>1944743</v>
      </c>
      <c r="E66" s="214">
        <f>ROUND(VLOOKUP(A66,'Contribution Allocation_Report'!$A$9:$D$314,4,FALSE)*$E$315,0)</f>
        <v>1528555</v>
      </c>
      <c r="F66" s="8"/>
      <c r="J66" s="59">
        <v>2550</v>
      </c>
      <c r="K66" s="282">
        <f t="shared" si="0"/>
        <v>0</v>
      </c>
    </row>
    <row r="67" spans="1:11">
      <c r="A67" s="193">
        <v>2570</v>
      </c>
      <c r="B67" s="194" t="s">
        <v>58</v>
      </c>
      <c r="C67" s="213">
        <f>ROUND(VLOOKUP(A67,'Contribution Allocation_Report'!$A$9:$D$314,4,FALSE)*$C$315,0)</f>
        <v>1552419</v>
      </c>
      <c r="D67" s="213">
        <f>ROUND(VLOOKUP(A67,'Contribution Allocation_Report'!$A$9:$D$314,4,FALSE)*$D$315,0)</f>
        <v>1231037</v>
      </c>
      <c r="E67" s="213">
        <f>ROUND(VLOOKUP(A67,'Contribution Allocation_Report'!$A$9:$D$314,4,FALSE)*$E$315,0)</f>
        <v>967587</v>
      </c>
      <c r="F67" s="8"/>
      <c r="J67" s="227">
        <v>2570</v>
      </c>
      <c r="K67" s="282">
        <f t="shared" si="0"/>
        <v>0</v>
      </c>
    </row>
    <row r="68" spans="1:11">
      <c r="A68" s="195">
        <v>2620</v>
      </c>
      <c r="B68" s="196" t="s">
        <v>59</v>
      </c>
      <c r="C68" s="214">
        <f>ROUND(VLOOKUP(A68,'Contribution Allocation_Report'!$A$9:$D$314,4,FALSE)*$C$315,0)</f>
        <v>16198878</v>
      </c>
      <c r="D68" s="214">
        <f>ROUND(VLOOKUP(A68,'Contribution Allocation_Report'!$A$9:$D$314,4,FALSE)*$D$315,0)</f>
        <v>12845387</v>
      </c>
      <c r="E68" s="214">
        <f>ROUND(VLOOKUP(A68,'Contribution Allocation_Report'!$A$9:$D$314,4,FALSE)*$E$315,0)</f>
        <v>10096388</v>
      </c>
      <c r="F68" s="8"/>
      <c r="J68" s="59">
        <v>2620</v>
      </c>
      <c r="K68" s="282">
        <f t="shared" si="0"/>
        <v>0</v>
      </c>
    </row>
    <row r="69" spans="1:11">
      <c r="A69" s="193">
        <v>2630</v>
      </c>
      <c r="B69" s="194" t="s">
        <v>60</v>
      </c>
      <c r="C69" s="213">
        <f>ROUND(VLOOKUP(A69,'Contribution Allocation_Report'!$A$9:$D$314,4,FALSE)*$C$315,0)</f>
        <v>11623745</v>
      </c>
      <c r="D69" s="213">
        <f>ROUND(VLOOKUP(A69,'Contribution Allocation_Report'!$A$9:$D$314,4,FALSE)*$D$315,0)</f>
        <v>9217397</v>
      </c>
      <c r="E69" s="213">
        <f>ROUND(VLOOKUP(A69,'Contribution Allocation_Report'!$A$9:$D$314,4,FALSE)*$E$315,0)</f>
        <v>7244813</v>
      </c>
      <c r="F69" s="8"/>
      <c r="J69" s="227">
        <v>2630</v>
      </c>
      <c r="K69" s="282">
        <f t="shared" si="0"/>
        <v>0</v>
      </c>
    </row>
    <row r="70" spans="1:11">
      <c r="A70" s="195">
        <v>2690</v>
      </c>
      <c r="B70" s="196" t="s">
        <v>61</v>
      </c>
      <c r="C70" s="214">
        <f>ROUND(VLOOKUP(A70,'Contribution Allocation_Report'!$A$9:$D$314,4,FALSE)*$C$315,0)</f>
        <v>30302940</v>
      </c>
      <c r="D70" s="214">
        <f>ROUND(VLOOKUP(A70,'Contribution Allocation_Report'!$A$9:$D$314,4,FALSE)*$D$315,0)</f>
        <v>24029626</v>
      </c>
      <c r="E70" s="214">
        <f>ROUND(VLOOKUP(A70,'Contribution Allocation_Report'!$A$9:$D$314,4,FALSE)*$E$315,0)</f>
        <v>18887126</v>
      </c>
      <c r="F70" s="8"/>
      <c r="J70" s="59">
        <v>2690</v>
      </c>
      <c r="K70" s="282">
        <f t="shared" si="0"/>
        <v>0</v>
      </c>
    </row>
    <row r="71" spans="1:11">
      <c r="A71" s="193">
        <v>2710</v>
      </c>
      <c r="B71" s="194" t="s">
        <v>62</v>
      </c>
      <c r="C71" s="213">
        <f>ROUND(VLOOKUP(A71,'Contribution Allocation_Report'!$A$9:$D$314,4,FALSE)*$C$315,0)</f>
        <v>287121</v>
      </c>
      <c r="D71" s="213">
        <f>ROUND(VLOOKUP(A71,'Contribution Allocation_Report'!$A$9:$D$314,4,FALSE)*$D$315,0)</f>
        <v>227681</v>
      </c>
      <c r="E71" s="213">
        <f>ROUND(VLOOKUP(A71,'Contribution Allocation_Report'!$A$9:$D$314,4,FALSE)*$E$315,0)</f>
        <v>178956</v>
      </c>
      <c r="F71" s="8"/>
      <c r="J71" s="227">
        <v>2710</v>
      </c>
      <c r="K71" s="282">
        <f t="shared" si="0"/>
        <v>0</v>
      </c>
    </row>
    <row r="72" spans="1:11">
      <c r="A72" s="195">
        <v>2730</v>
      </c>
      <c r="B72" s="196" t="s">
        <v>63</v>
      </c>
      <c r="C72" s="214">
        <f>ROUND(VLOOKUP(A72,'Contribution Allocation_Report'!$A$9:$D$314,4,FALSE)*$C$315,0)</f>
        <v>2481060</v>
      </c>
      <c r="D72" s="214">
        <f>ROUND(VLOOKUP(A72,'Contribution Allocation_Report'!$A$9:$D$314,4,FALSE)*$D$315,0)</f>
        <v>1967431</v>
      </c>
      <c r="E72" s="214">
        <f>ROUND(VLOOKUP(A72,'Contribution Allocation_Report'!$A$9:$D$314,4,FALSE)*$E$315,0)</f>
        <v>1546388</v>
      </c>
      <c r="F72" s="8"/>
      <c r="J72" s="59">
        <v>2730</v>
      </c>
      <c r="K72" s="282">
        <f t="shared" si="0"/>
        <v>0</v>
      </c>
    </row>
    <row r="73" spans="1:11">
      <c r="A73" s="193">
        <v>2950</v>
      </c>
      <c r="B73" s="194" t="s">
        <v>64</v>
      </c>
      <c r="C73" s="213">
        <f>ROUND(VLOOKUP(A73,'Contribution Allocation_Report'!$A$9:$D$314,4,FALSE)*$C$315,0)</f>
        <v>1819853</v>
      </c>
      <c r="D73" s="213">
        <f>ROUND(VLOOKUP(A73,'Contribution Allocation_Report'!$A$9:$D$314,4,FALSE)*$D$315,0)</f>
        <v>1443107</v>
      </c>
      <c r="E73" s="213">
        <f>ROUND(VLOOKUP(A73,'Contribution Allocation_Report'!$A$9:$D$314,4,FALSE)*$E$315,0)</f>
        <v>1134272</v>
      </c>
      <c r="F73" s="8"/>
      <c r="J73" s="227">
        <v>2950</v>
      </c>
      <c r="K73" s="282">
        <f t="shared" si="0"/>
        <v>0</v>
      </c>
    </row>
    <row r="74" spans="1:11">
      <c r="A74" s="195">
        <v>2760</v>
      </c>
      <c r="B74" s="196" t="s">
        <v>65</v>
      </c>
      <c r="C74" s="214">
        <f>ROUND(VLOOKUP(A74,'Contribution Allocation_Report'!$A$9:$D$314,4,FALSE)*$C$315,0)</f>
        <v>1528932</v>
      </c>
      <c r="D74" s="214">
        <f>ROUND(VLOOKUP(A74,'Contribution Allocation_Report'!$A$9:$D$314,4,FALSE)*$D$315,0)</f>
        <v>1212413</v>
      </c>
      <c r="E74" s="214">
        <f>ROUND(VLOOKUP(A74,'Contribution Allocation_Report'!$A$9:$D$314,4,FALSE)*$E$315,0)</f>
        <v>952948</v>
      </c>
      <c r="F74" s="8"/>
      <c r="J74" s="59">
        <v>2760</v>
      </c>
      <c r="K74" s="282">
        <f t="shared" ref="K74:K138" si="1">+A74-J74</f>
        <v>0</v>
      </c>
    </row>
    <row r="75" spans="1:11">
      <c r="A75" s="193">
        <v>2780</v>
      </c>
      <c r="B75" s="194" t="s">
        <v>66</v>
      </c>
      <c r="C75" s="213">
        <f>ROUND(VLOOKUP(A75,'Contribution Allocation_Report'!$A$9:$D$314,4,FALSE)*$C$315,0)</f>
        <v>132860</v>
      </c>
      <c r="D75" s="213">
        <f>ROUND(VLOOKUP(A75,'Contribution Allocation_Report'!$A$9:$D$314,4,FALSE)*$D$315,0)</f>
        <v>105355</v>
      </c>
      <c r="E75" s="213">
        <f>ROUND(VLOOKUP(A75,'Contribution Allocation_Report'!$A$9:$D$314,4,FALSE)*$E$315,0)</f>
        <v>82809</v>
      </c>
      <c r="F75" s="8"/>
      <c r="J75" s="227">
        <v>2780</v>
      </c>
      <c r="K75" s="282">
        <f t="shared" si="1"/>
        <v>0</v>
      </c>
    </row>
    <row r="76" spans="1:11">
      <c r="A76" s="195">
        <v>2810</v>
      </c>
      <c r="B76" s="196" t="s">
        <v>67</v>
      </c>
      <c r="C76" s="214">
        <f>ROUND(VLOOKUP(A76,'Contribution Allocation_Report'!$A$9:$D$314,4,FALSE)*$C$315,0)</f>
        <v>1184765</v>
      </c>
      <c r="D76" s="214">
        <f>ROUND(VLOOKUP(A76,'Contribution Allocation_Report'!$A$9:$D$314,4,FALSE)*$D$315,0)</f>
        <v>939495</v>
      </c>
      <c r="E76" s="214">
        <f>ROUND(VLOOKUP(A76,'Contribution Allocation_Report'!$A$9:$D$314,4,FALSE)*$E$315,0)</f>
        <v>738437</v>
      </c>
      <c r="F76" s="8"/>
      <c r="J76" s="59">
        <v>2810</v>
      </c>
      <c r="K76" s="282">
        <f t="shared" si="1"/>
        <v>0</v>
      </c>
    </row>
    <row r="77" spans="1:11">
      <c r="A77" s="193">
        <v>18056</v>
      </c>
      <c r="B77" s="194" t="s">
        <v>68</v>
      </c>
      <c r="C77" s="213">
        <f>ROUND(VLOOKUP(A77,'Contribution Allocation_Report'!$A$9:$D$314,4,FALSE)*$C$315,0)</f>
        <v>1516738</v>
      </c>
      <c r="D77" s="213">
        <f>ROUND(VLOOKUP(A77,'Contribution Allocation_Report'!$A$9:$D$314,4,FALSE)*$D$315,0)</f>
        <v>1202743</v>
      </c>
      <c r="E77" s="213">
        <f>ROUND(VLOOKUP(A77,'Contribution Allocation_Report'!$A$9:$D$314,4,FALSE)*$E$315,0)</f>
        <v>945348</v>
      </c>
      <c r="F77" s="8"/>
      <c r="J77" s="227">
        <v>18056</v>
      </c>
      <c r="K77" s="282">
        <f t="shared" si="1"/>
        <v>0</v>
      </c>
    </row>
    <row r="78" spans="1:11">
      <c r="A78" s="195">
        <v>15047</v>
      </c>
      <c r="B78" s="196" t="s">
        <v>69</v>
      </c>
      <c r="C78" s="214">
        <f>ROUND(VLOOKUP(A78,'Contribution Allocation_Report'!$A$9:$D$314,4,FALSE)*$C$315,0)</f>
        <v>1373576</v>
      </c>
      <c r="D78" s="214">
        <f>ROUND(VLOOKUP(A78,'Contribution Allocation_Report'!$A$9:$D$314,4,FALSE)*$D$315,0)</f>
        <v>1089218</v>
      </c>
      <c r="E78" s="214">
        <f>ROUND(VLOOKUP(A78,'Contribution Allocation_Report'!$A$9:$D$314,4,FALSE)*$E$315,0)</f>
        <v>856118</v>
      </c>
      <c r="F78" s="8"/>
      <c r="J78" s="59">
        <v>15047</v>
      </c>
      <c r="K78" s="282">
        <f t="shared" si="1"/>
        <v>0</v>
      </c>
    </row>
    <row r="79" spans="1:11">
      <c r="A79" s="195">
        <v>5012</v>
      </c>
      <c r="B79" s="223" t="s">
        <v>70</v>
      </c>
      <c r="C79" s="238">
        <f>ROUND(VLOOKUP(A79,'Contribution Allocation_Report'!$A$9:$D$314,4,FALSE)*$C$315,0)</f>
        <v>23788596</v>
      </c>
      <c r="D79" s="238">
        <f>ROUND(VLOOKUP(A79,'Contribution Allocation_Report'!$A$9:$D$314,4,FALSE)*$D$315,0)</f>
        <v>18863881</v>
      </c>
      <c r="E79" s="238">
        <f>ROUND(VLOOKUP(A79,'Contribution Allocation_Report'!$A$9:$D$314,4,FALSE)*$E$315,0)</f>
        <v>14826885</v>
      </c>
      <c r="F79" s="8"/>
      <c r="J79" s="227">
        <v>5012</v>
      </c>
      <c r="K79" s="282">
        <f t="shared" si="1"/>
        <v>0</v>
      </c>
    </row>
    <row r="80" spans="1:11">
      <c r="A80" s="193">
        <v>8024</v>
      </c>
      <c r="B80" s="194" t="s">
        <v>71</v>
      </c>
      <c r="C80" s="213">
        <f>ROUND(VLOOKUP(A80,'Contribution Allocation_Report'!$A$9:$D$314,4,FALSE)*$C$315,0)</f>
        <v>4485411</v>
      </c>
      <c r="D80" s="213">
        <f>ROUND(VLOOKUP(A80,'Contribution Allocation_Report'!$A$9:$D$314,4,FALSE)*$D$315,0)</f>
        <v>3556841</v>
      </c>
      <c r="E80" s="213">
        <f>ROUND(VLOOKUP(A80,'Contribution Allocation_Report'!$A$9:$D$314,4,FALSE)*$E$315,0)</f>
        <v>2795654</v>
      </c>
      <c r="F80" s="8"/>
      <c r="J80" s="59">
        <v>8024</v>
      </c>
      <c r="K80" s="282">
        <f t="shared" si="1"/>
        <v>0</v>
      </c>
    </row>
    <row r="81" spans="1:11">
      <c r="A81" s="195">
        <v>3050</v>
      </c>
      <c r="B81" s="196" t="s">
        <v>72</v>
      </c>
      <c r="C81" s="214">
        <f>ROUND(VLOOKUP(A81,'Contribution Allocation_Report'!$A$9:$D$314,4,FALSE)*$C$315,0)</f>
        <v>1669409</v>
      </c>
      <c r="D81" s="214">
        <f>ROUND(VLOOKUP(A81,'Contribution Allocation_Report'!$A$9:$D$314,4,FALSE)*$D$315,0)</f>
        <v>1323808</v>
      </c>
      <c r="E81" s="214">
        <f>ROUND(VLOOKUP(A81,'Contribution Allocation_Report'!$A$9:$D$314,4,FALSE)*$E$315,0)</f>
        <v>1040504</v>
      </c>
      <c r="F81" s="8"/>
      <c r="J81" s="227">
        <v>3050</v>
      </c>
      <c r="K81" s="282">
        <f t="shared" si="1"/>
        <v>0</v>
      </c>
    </row>
    <row r="82" spans="1:11">
      <c r="A82" s="193">
        <v>2421</v>
      </c>
      <c r="B82" s="194" t="s">
        <v>73</v>
      </c>
      <c r="C82" s="213">
        <f>ROUND(VLOOKUP(A82,'Contribution Allocation_Report'!$A$9:$D$314,4,FALSE)*$C$315,0)</f>
        <v>549006</v>
      </c>
      <c r="D82" s="213">
        <f>ROUND(VLOOKUP(A82,'Contribution Allocation_Report'!$A$9:$D$314,4,FALSE)*$D$315,0)</f>
        <v>435351</v>
      </c>
      <c r="E82" s="213">
        <f>ROUND(VLOOKUP(A82,'Contribution Allocation_Report'!$A$9:$D$314,4,FALSE)*$E$315,0)</f>
        <v>342183</v>
      </c>
      <c r="F82" s="8"/>
      <c r="J82" s="59">
        <v>2421</v>
      </c>
      <c r="K82" s="282">
        <f t="shared" si="1"/>
        <v>0</v>
      </c>
    </row>
    <row r="83" spans="1:11">
      <c r="A83" s="195">
        <v>26079</v>
      </c>
      <c r="B83" s="196" t="s">
        <v>74</v>
      </c>
      <c r="C83" s="214">
        <f>ROUND(VLOOKUP(A83,'Contribution Allocation_Report'!$A$9:$D$314,4,FALSE)*$C$315,0)</f>
        <v>583396</v>
      </c>
      <c r="D83" s="214">
        <f>ROUND(VLOOKUP(A83,'Contribution Allocation_Report'!$A$9:$D$314,4,FALSE)*$D$315,0)</f>
        <v>462622</v>
      </c>
      <c r="E83" s="214">
        <f>ROUND(VLOOKUP(A83,'Contribution Allocation_Report'!$A$9:$D$314,4,FALSE)*$E$315,0)</f>
        <v>363617</v>
      </c>
      <c r="F83" s="8"/>
      <c r="J83" s="227">
        <v>26079</v>
      </c>
      <c r="K83" s="282">
        <f t="shared" si="1"/>
        <v>0</v>
      </c>
    </row>
    <row r="84" spans="1:11">
      <c r="A84" s="193">
        <v>2363</v>
      </c>
      <c r="B84" s="194" t="s">
        <v>75</v>
      </c>
      <c r="C84" s="213">
        <f>ROUND(VLOOKUP(A84,'Contribution Allocation_Report'!$A$9:$D$314,4,FALSE)*$C$315,0)</f>
        <v>663098</v>
      </c>
      <c r="D84" s="213">
        <f>ROUND(VLOOKUP(A84,'Contribution Allocation_Report'!$A$9:$D$314,4,FALSE)*$D$315,0)</f>
        <v>525824</v>
      </c>
      <c r="E84" s="213">
        <f>ROUND(VLOOKUP(A84,'Contribution Allocation_Report'!$A$9:$D$314,4,FALSE)*$E$315,0)</f>
        <v>413294</v>
      </c>
      <c r="F84" s="8"/>
      <c r="J84" s="59">
        <v>2363</v>
      </c>
      <c r="K84" s="282">
        <f t="shared" si="1"/>
        <v>0</v>
      </c>
    </row>
    <row r="85" spans="1:11">
      <c r="A85" s="195">
        <v>2364</v>
      </c>
      <c r="B85" s="196" t="s">
        <v>76</v>
      </c>
      <c r="C85" s="214">
        <f>ROUND(VLOOKUP(A85,'Contribution Allocation_Report'!$A$9:$D$314,4,FALSE)*$C$315,0)</f>
        <v>2159885</v>
      </c>
      <c r="D85" s="214">
        <f>ROUND(VLOOKUP(A85,'Contribution Allocation_Report'!$A$9:$D$314,4,FALSE)*$D$315,0)</f>
        <v>1712745</v>
      </c>
      <c r="E85" s="214">
        <f>ROUND(VLOOKUP(A85,'Contribution Allocation_Report'!$A$9:$D$314,4,FALSE)*$E$315,0)</f>
        <v>1346206</v>
      </c>
      <c r="F85" s="8"/>
      <c r="J85" s="227">
        <v>2364</v>
      </c>
      <c r="K85" s="282">
        <f t="shared" si="1"/>
        <v>0</v>
      </c>
    </row>
    <row r="86" spans="1:11">
      <c r="A86" s="193">
        <v>25319</v>
      </c>
      <c r="B86" s="194" t="s">
        <v>77</v>
      </c>
      <c r="C86" s="213">
        <f>ROUND(VLOOKUP(A86,'Contribution Allocation_Report'!$A$9:$D$314,4,FALSE)*$C$315,0)</f>
        <v>433306</v>
      </c>
      <c r="D86" s="213">
        <f>ROUND(VLOOKUP(A86,'Contribution Allocation_Report'!$A$9:$D$314,4,FALSE)*$D$315,0)</f>
        <v>343603</v>
      </c>
      <c r="E86" s="213">
        <f>ROUND(VLOOKUP(A86,'Contribution Allocation_Report'!$A$9:$D$314,4,FALSE)*$E$315,0)</f>
        <v>270070</v>
      </c>
      <c r="F86" s="8"/>
      <c r="J86" s="59">
        <v>25319</v>
      </c>
      <c r="K86" s="282">
        <f t="shared" si="1"/>
        <v>0</v>
      </c>
    </row>
    <row r="87" spans="1:11">
      <c r="A87" s="195">
        <v>29087</v>
      </c>
      <c r="B87" s="210" t="s">
        <v>78</v>
      </c>
      <c r="C87" s="214">
        <f>ROUND(VLOOKUP(A87,'Contribution Allocation_Report'!$A$9:$D$314,4,FALSE)*$C$315,0)</f>
        <v>4330531</v>
      </c>
      <c r="D87" s="214">
        <f>ROUND(VLOOKUP(A87,'Contribution Allocation_Report'!$A$9:$D$314,4,FALSE)*$D$315,0)</f>
        <v>3434025</v>
      </c>
      <c r="E87" s="214">
        <f>ROUND(VLOOKUP(A87,'Contribution Allocation_Report'!$A$9:$D$314,4,FALSE)*$E$315,0)</f>
        <v>2699121</v>
      </c>
      <c r="F87" s="8"/>
      <c r="J87" s="227">
        <v>29087</v>
      </c>
      <c r="K87" s="282">
        <f t="shared" si="1"/>
        <v>0</v>
      </c>
    </row>
    <row r="88" spans="1:11">
      <c r="A88" s="193">
        <v>3060</v>
      </c>
      <c r="B88" s="194" t="s">
        <v>79</v>
      </c>
      <c r="C88" s="213">
        <f>ROUND(VLOOKUP(A88,'Contribution Allocation_Report'!$A$9:$D$314,4,FALSE)*$C$315,0)</f>
        <v>2516069</v>
      </c>
      <c r="D88" s="213">
        <f>ROUND(VLOOKUP(A88,'Contribution Allocation_Report'!$A$9:$D$314,4,FALSE)*$D$315,0)</f>
        <v>1995192</v>
      </c>
      <c r="E88" s="213">
        <f>ROUND(VLOOKUP(A88,'Contribution Allocation_Report'!$A$9:$D$314,4,FALSE)*$E$315,0)</f>
        <v>1568208</v>
      </c>
      <c r="F88" s="8"/>
      <c r="J88" s="59">
        <v>3060</v>
      </c>
      <c r="K88" s="282">
        <f t="shared" si="1"/>
        <v>0</v>
      </c>
    </row>
    <row r="89" spans="1:11">
      <c r="A89" s="195">
        <v>19301</v>
      </c>
      <c r="B89" s="196" t="s">
        <v>80</v>
      </c>
      <c r="C89" s="214">
        <f>ROUND(VLOOKUP(A89,'Contribution Allocation_Report'!$A$9:$D$314,4,FALSE)*$C$315,0)</f>
        <v>495229</v>
      </c>
      <c r="D89" s="214">
        <f>ROUND(VLOOKUP(A89,'Contribution Allocation_Report'!$A$9:$D$314,4,FALSE)*$D$315,0)</f>
        <v>392707</v>
      </c>
      <c r="E89" s="214">
        <f>ROUND(VLOOKUP(A89,'Contribution Allocation_Report'!$A$9:$D$314,4,FALSE)*$E$315,0)</f>
        <v>308665</v>
      </c>
      <c r="F89" s="8"/>
      <c r="J89" s="227">
        <v>19301</v>
      </c>
      <c r="K89" s="282">
        <f t="shared" si="1"/>
        <v>0</v>
      </c>
    </row>
    <row r="90" spans="1:11">
      <c r="A90" s="193">
        <v>19059</v>
      </c>
      <c r="B90" s="194" t="s">
        <v>81</v>
      </c>
      <c r="C90" s="213">
        <f>ROUND(VLOOKUP(A90,'Contribution Allocation_Report'!$A$9:$D$314,4,FALSE)*$C$315,0)</f>
        <v>15836420</v>
      </c>
      <c r="D90" s="213">
        <f>ROUND(VLOOKUP(A90,'Contribution Allocation_Report'!$A$9:$D$314,4,FALSE)*$D$315,0)</f>
        <v>12557965</v>
      </c>
      <c r="E90" s="213">
        <f>ROUND(VLOOKUP(A90,'Contribution Allocation_Report'!$A$9:$D$314,4,FALSE)*$E$315,0)</f>
        <v>9870477</v>
      </c>
      <c r="F90" s="8"/>
      <c r="J90" s="59">
        <v>19059</v>
      </c>
      <c r="K90" s="282">
        <f t="shared" si="1"/>
        <v>0</v>
      </c>
    </row>
    <row r="91" spans="1:11">
      <c r="A91" s="195">
        <v>18057</v>
      </c>
      <c r="B91" s="196" t="s">
        <v>82</v>
      </c>
      <c r="C91" s="214">
        <f>ROUND(VLOOKUP(A91,'Contribution Allocation_Report'!$A$9:$D$314,4,FALSE)*$C$315,0)</f>
        <v>671192</v>
      </c>
      <c r="D91" s="214">
        <f>ROUND(VLOOKUP(A91,'Contribution Allocation_Report'!$A$9:$D$314,4,FALSE)*$D$315,0)</f>
        <v>532242</v>
      </c>
      <c r="E91" s="214">
        <f>ROUND(VLOOKUP(A91,'Contribution Allocation_Report'!$A$9:$D$314,4,FALSE)*$E$315,0)</f>
        <v>418339</v>
      </c>
      <c r="F91" s="8"/>
      <c r="J91" s="227">
        <v>18057</v>
      </c>
      <c r="K91" s="282">
        <f t="shared" si="1"/>
        <v>0</v>
      </c>
    </row>
    <row r="92" spans="1:11">
      <c r="A92" s="193">
        <v>4008</v>
      </c>
      <c r="B92" s="194" t="s">
        <v>83</v>
      </c>
      <c r="C92" s="213">
        <f>ROUND(VLOOKUP(A92,'Contribution Allocation_Report'!$A$9:$D$314,4,FALSE)*$C$315,0)</f>
        <v>2647727</v>
      </c>
      <c r="D92" s="213">
        <f>ROUND(VLOOKUP(A92,'Contribution Allocation_Report'!$A$9:$D$314,4,FALSE)*$D$315,0)</f>
        <v>2099595</v>
      </c>
      <c r="E92" s="213">
        <f>ROUND(VLOOKUP(A92,'Contribution Allocation_Report'!$A$9:$D$314,4,FALSE)*$E$315,0)</f>
        <v>1650267</v>
      </c>
      <c r="F92" s="8"/>
      <c r="J92" s="59">
        <v>4008</v>
      </c>
      <c r="K92" s="282">
        <f t="shared" si="1"/>
        <v>0</v>
      </c>
    </row>
    <row r="93" spans="1:11">
      <c r="A93" s="195">
        <v>2350</v>
      </c>
      <c r="B93" s="196" t="s">
        <v>84</v>
      </c>
      <c r="C93" s="214">
        <f>ROUND(VLOOKUP(A93,'Contribution Allocation_Report'!$A$9:$D$314,4,FALSE)*$C$315,0)</f>
        <v>871560</v>
      </c>
      <c r="D93" s="214">
        <f>ROUND(VLOOKUP(A93,'Contribution Allocation_Report'!$A$9:$D$314,4,FALSE)*$D$315,0)</f>
        <v>691130</v>
      </c>
      <c r="E93" s="214">
        <f>ROUND(VLOOKUP(A93,'Contribution Allocation_Report'!$A$9:$D$314,4,FALSE)*$E$315,0)</f>
        <v>543223</v>
      </c>
      <c r="F93" s="8"/>
      <c r="J93" s="227">
        <v>2350</v>
      </c>
      <c r="K93" s="282">
        <f t="shared" si="1"/>
        <v>0</v>
      </c>
    </row>
    <row r="94" spans="1:11">
      <c r="A94" s="193">
        <v>11117</v>
      </c>
      <c r="B94" s="194" t="s">
        <v>85</v>
      </c>
      <c r="C94" s="213">
        <f>ROUND(VLOOKUP(A94,'Contribution Allocation_Report'!$A$9:$D$314,4,FALSE)*$C$315,0)</f>
        <v>833777</v>
      </c>
      <c r="D94" s="213">
        <f>ROUND(VLOOKUP(A94,'Contribution Allocation_Report'!$A$9:$D$314,4,FALSE)*$D$315,0)</f>
        <v>661168</v>
      </c>
      <c r="E94" s="213">
        <f>ROUND(VLOOKUP(A94,'Contribution Allocation_Report'!$A$9:$D$314,4,FALSE)*$E$315,0)</f>
        <v>519674</v>
      </c>
      <c r="F94" s="8"/>
      <c r="J94" s="59">
        <v>11117</v>
      </c>
      <c r="K94" s="282">
        <f t="shared" si="1"/>
        <v>0</v>
      </c>
    </row>
    <row r="95" spans="1:11">
      <c r="A95" s="195">
        <v>16359</v>
      </c>
      <c r="B95" s="196" t="s">
        <v>86</v>
      </c>
      <c r="C95" s="214">
        <f>ROUND(VLOOKUP(A95,'Contribution Allocation_Report'!$A$9:$D$314,4,FALSE)*$C$315,0)</f>
        <v>181158</v>
      </c>
      <c r="D95" s="214">
        <f>ROUND(VLOOKUP(A95,'Contribution Allocation_Report'!$A$9:$D$314,4,FALSE)*$D$315,0)</f>
        <v>143655</v>
      </c>
      <c r="E95" s="214">
        <f>ROUND(VLOOKUP(A95,'Contribution Allocation_Report'!$A$9:$D$314,4,FALSE)*$E$315,0)</f>
        <v>112912</v>
      </c>
      <c r="F95" s="8"/>
      <c r="J95" s="227">
        <v>16359</v>
      </c>
      <c r="K95" s="282">
        <f t="shared" si="1"/>
        <v>0</v>
      </c>
    </row>
    <row r="96" spans="1:11">
      <c r="A96" s="193">
        <v>17115</v>
      </c>
      <c r="B96" s="194" t="s">
        <v>87</v>
      </c>
      <c r="C96" s="213">
        <f>ROUND(VLOOKUP(A96,'Contribution Allocation_Report'!$A$9:$D$314,4,FALSE)*$C$315,0)</f>
        <v>3221845</v>
      </c>
      <c r="D96" s="213">
        <f>ROUND(VLOOKUP(A96,'Contribution Allocation_Report'!$A$9:$D$314,4,FALSE)*$D$315,0)</f>
        <v>2554859</v>
      </c>
      <c r="E96" s="213">
        <f>ROUND(VLOOKUP(A96,'Contribution Allocation_Report'!$A$9:$D$314,4,FALSE)*$E$315,0)</f>
        <v>2008102</v>
      </c>
      <c r="F96" s="8"/>
      <c r="J96" s="59">
        <v>17115</v>
      </c>
      <c r="K96" s="282">
        <f t="shared" si="1"/>
        <v>0</v>
      </c>
    </row>
    <row r="97" spans="1:11">
      <c r="A97" s="195">
        <v>32117</v>
      </c>
      <c r="B97" s="196" t="s">
        <v>88</v>
      </c>
      <c r="C97" s="214">
        <f>ROUND(VLOOKUP(A97,'Contribution Allocation_Report'!$A$9:$D$314,4,FALSE)*$C$315,0)</f>
        <v>257926</v>
      </c>
      <c r="D97" s="214">
        <f>ROUND(VLOOKUP(A97,'Contribution Allocation_Report'!$A$9:$D$314,4,FALSE)*$D$315,0)</f>
        <v>204531</v>
      </c>
      <c r="E97" s="214">
        <f>ROUND(VLOOKUP(A97,'Contribution Allocation_Report'!$A$9:$D$314,4,FALSE)*$E$315,0)</f>
        <v>160760</v>
      </c>
      <c r="F97" s="8"/>
      <c r="J97" s="227">
        <v>32117</v>
      </c>
      <c r="K97" s="282">
        <f t="shared" si="1"/>
        <v>0</v>
      </c>
    </row>
    <row r="98" spans="1:11">
      <c r="A98" s="193">
        <v>2304</v>
      </c>
      <c r="B98" s="194" t="s">
        <v>89</v>
      </c>
      <c r="C98" s="213">
        <f>ROUND(VLOOKUP(A98,'Contribution Allocation_Report'!$A$9:$D$314,4,FALSE)*$C$315,0)</f>
        <v>1141398</v>
      </c>
      <c r="D98" s="213">
        <f>ROUND(VLOOKUP(A98,'Contribution Allocation_Report'!$A$9:$D$314,4,FALSE)*$D$315,0)</f>
        <v>905105</v>
      </c>
      <c r="E98" s="213">
        <f>ROUND(VLOOKUP(A98,'Contribution Allocation_Report'!$A$9:$D$314,4,FALSE)*$E$315,0)</f>
        <v>711407</v>
      </c>
      <c r="F98" s="8"/>
      <c r="J98" s="59">
        <v>2304</v>
      </c>
      <c r="K98" s="282">
        <f t="shared" si="1"/>
        <v>0</v>
      </c>
    </row>
    <row r="99" spans="1:11">
      <c r="A99" s="195">
        <v>11101</v>
      </c>
      <c r="B99" s="196" t="s">
        <v>91</v>
      </c>
      <c r="C99" s="214">
        <f>ROUND(VLOOKUP(A99,'Contribution Allocation_Report'!$A$9:$D$314,4,FALSE)*$C$315,0)</f>
        <v>13177206</v>
      </c>
      <c r="D99" s="214">
        <f>ROUND(VLOOKUP(A99,'Contribution Allocation_Report'!$A$9:$D$314,4,FALSE)*$D$315,0)</f>
        <v>10449261</v>
      </c>
      <c r="E99" s="214">
        <f>ROUND(VLOOKUP(A99,'Contribution Allocation_Report'!$A$9:$D$314,4,FALSE)*$E$315,0)</f>
        <v>8213050</v>
      </c>
      <c r="F99" s="8"/>
      <c r="J99" s="227">
        <v>11101</v>
      </c>
      <c r="K99" s="282">
        <f t="shared" si="1"/>
        <v>0</v>
      </c>
    </row>
    <row r="100" spans="1:11">
      <c r="A100" s="193">
        <v>11102</v>
      </c>
      <c r="B100" s="194" t="s">
        <v>90</v>
      </c>
      <c r="C100" s="213">
        <f>ROUND(VLOOKUP(A100,'Contribution Allocation_Report'!$A$9:$D$314,4,FALSE)*$C$315,0)</f>
        <v>4577625</v>
      </c>
      <c r="D100" s="213">
        <f>ROUND(VLOOKUP(A100,'Contribution Allocation_Report'!$A$9:$D$314,4,FALSE)*$D$315,0)</f>
        <v>3629965</v>
      </c>
      <c r="E100" s="213">
        <f>ROUND(VLOOKUP(A100,'Contribution Allocation_Report'!$A$9:$D$314,4,FALSE)*$E$315,0)</f>
        <v>2853128</v>
      </c>
      <c r="F100" s="8"/>
      <c r="J100" s="59">
        <v>11102</v>
      </c>
      <c r="K100" s="282">
        <f t="shared" si="1"/>
        <v>0</v>
      </c>
    </row>
    <row r="101" spans="1:11">
      <c r="A101" s="195">
        <v>3100</v>
      </c>
      <c r="B101" s="196" t="s">
        <v>92</v>
      </c>
      <c r="C101" s="214">
        <f>ROUND(VLOOKUP(A101,'Contribution Allocation_Report'!$A$9:$D$314,4,FALSE)*$C$315,0)</f>
        <v>9369667</v>
      </c>
      <c r="D101" s="214">
        <f>ROUND(VLOOKUP(A101,'Contribution Allocation_Report'!$A$9:$D$314,4,FALSE)*$D$315,0)</f>
        <v>7429959</v>
      </c>
      <c r="E101" s="214">
        <f>ROUND(VLOOKUP(A101,'Contribution Allocation_Report'!$A$9:$D$314,4,FALSE)*$E$315,0)</f>
        <v>5839898</v>
      </c>
      <c r="F101" s="8"/>
      <c r="J101" s="227">
        <v>3100</v>
      </c>
      <c r="K101" s="282">
        <f t="shared" si="1"/>
        <v>0</v>
      </c>
    </row>
    <row r="102" spans="1:11">
      <c r="A102" s="193">
        <v>2323</v>
      </c>
      <c r="B102" s="194" t="s">
        <v>93</v>
      </c>
      <c r="C102" s="213">
        <f>ROUND(VLOOKUP(A102,'Contribution Allocation_Report'!$A$9:$D$314,4,FALSE)*$C$315,0)</f>
        <v>925425</v>
      </c>
      <c r="D102" s="213">
        <f>ROUND(VLOOKUP(A102,'Contribution Allocation_Report'!$A$9:$D$314,4,FALSE)*$D$315,0)</f>
        <v>733844</v>
      </c>
      <c r="E102" s="213">
        <f>ROUND(VLOOKUP(A102,'Contribution Allocation_Report'!$A$9:$D$314,4,FALSE)*$E$315,0)</f>
        <v>576796</v>
      </c>
      <c r="F102" s="8"/>
      <c r="J102" s="59">
        <v>2323</v>
      </c>
      <c r="K102" s="282">
        <f t="shared" si="1"/>
        <v>0</v>
      </c>
    </row>
    <row r="103" spans="1:11">
      <c r="A103" s="195">
        <v>11034</v>
      </c>
      <c r="B103" s="196" t="s">
        <v>94</v>
      </c>
      <c r="C103" s="214">
        <f>ROUND(VLOOKUP(A103,'Contribution Allocation_Report'!$A$9:$D$314,4,FALSE)*$C$315,0)</f>
        <v>717758</v>
      </c>
      <c r="D103" s="214">
        <f>ROUND(VLOOKUP(A103,'Contribution Allocation_Report'!$A$9:$D$314,4,FALSE)*$D$315,0)</f>
        <v>569168</v>
      </c>
      <c r="E103" s="214">
        <f>ROUND(VLOOKUP(A103,'Contribution Allocation_Report'!$A$9:$D$314,4,FALSE)*$E$315,0)</f>
        <v>447362</v>
      </c>
      <c r="F103" s="8"/>
      <c r="J103" s="227">
        <v>11034</v>
      </c>
      <c r="K103" s="282">
        <f t="shared" si="1"/>
        <v>0</v>
      </c>
    </row>
    <row r="104" spans="1:11">
      <c r="A104" s="193">
        <v>17054</v>
      </c>
      <c r="B104" s="194" t="s">
        <v>95</v>
      </c>
      <c r="C104" s="213">
        <f>ROUND(VLOOKUP(A104,'Contribution Allocation_Report'!$A$9:$D$314,4,FALSE)*$C$315,0)</f>
        <v>9637366</v>
      </c>
      <c r="D104" s="213">
        <f>ROUND(VLOOKUP(A104,'Contribution Allocation_Report'!$A$9:$D$314,4,FALSE)*$D$315,0)</f>
        <v>7642239</v>
      </c>
      <c r="E104" s="213">
        <f>ROUND(VLOOKUP(A104,'Contribution Allocation_Report'!$A$9:$D$314,4,FALSE)*$E$315,0)</f>
        <v>6006749</v>
      </c>
      <c r="F104" s="8"/>
      <c r="J104" s="59">
        <v>17054</v>
      </c>
      <c r="K104" s="282">
        <f t="shared" si="1"/>
        <v>0</v>
      </c>
    </row>
    <row r="105" spans="1:11">
      <c r="A105" s="195">
        <v>22065</v>
      </c>
      <c r="B105" s="196" t="s">
        <v>96</v>
      </c>
      <c r="C105" s="214">
        <f>ROUND(VLOOKUP(A105,'Contribution Allocation_Report'!$A$9:$D$314,4,FALSE)*$C$315,0)</f>
        <v>2464360</v>
      </c>
      <c r="D105" s="214">
        <f>ROUND(VLOOKUP(A105,'Contribution Allocation_Report'!$A$9:$D$314,4,FALSE)*$D$315,0)</f>
        <v>1954188</v>
      </c>
      <c r="E105" s="214">
        <f>ROUND(VLOOKUP(A105,'Contribution Allocation_Report'!$A$9:$D$314,4,FALSE)*$E$315,0)</f>
        <v>1535979</v>
      </c>
      <c r="F105" s="8"/>
      <c r="J105" s="227">
        <v>22065</v>
      </c>
      <c r="K105" s="282">
        <f t="shared" si="1"/>
        <v>0</v>
      </c>
    </row>
    <row r="106" spans="1:11">
      <c r="A106" s="193">
        <v>22201</v>
      </c>
      <c r="B106" s="194" t="s">
        <v>97</v>
      </c>
      <c r="C106" s="213">
        <f>ROUND(VLOOKUP(A106,'Contribution Allocation_Report'!$A$9:$D$314,4,FALSE)*$C$315,0)</f>
        <v>1447074</v>
      </c>
      <c r="D106" s="213">
        <f>ROUND(VLOOKUP(A106,'Contribution Allocation_Report'!$A$9:$D$314,4,FALSE)*$D$315,0)</f>
        <v>1147501</v>
      </c>
      <c r="E106" s="213">
        <f>ROUND(VLOOKUP(A106,'Contribution Allocation_Report'!$A$9:$D$314,4,FALSE)*$E$315,0)</f>
        <v>901928</v>
      </c>
      <c r="F106" s="8"/>
      <c r="J106" s="59">
        <v>22201</v>
      </c>
      <c r="K106" s="282">
        <f t="shared" si="1"/>
        <v>0</v>
      </c>
    </row>
    <row r="107" spans="1:11">
      <c r="A107" s="195">
        <v>6016</v>
      </c>
      <c r="B107" s="196" t="s">
        <v>98</v>
      </c>
      <c r="C107" s="214">
        <f>ROUND(VLOOKUP(A107,'Contribution Allocation_Report'!$A$9:$D$314,4,FALSE)*$C$315,0)</f>
        <v>2367180</v>
      </c>
      <c r="D107" s="214">
        <f>ROUND(VLOOKUP(A107,'Contribution Allocation_Report'!$A$9:$D$314,4,FALSE)*$D$315,0)</f>
        <v>1877126</v>
      </c>
      <c r="E107" s="214">
        <f>ROUND(VLOOKUP(A107,'Contribution Allocation_Report'!$A$9:$D$314,4,FALSE)*$E$315,0)</f>
        <v>1475409</v>
      </c>
      <c r="F107" s="8"/>
      <c r="J107" s="227">
        <v>6016</v>
      </c>
      <c r="K107" s="282">
        <f t="shared" si="1"/>
        <v>0</v>
      </c>
    </row>
    <row r="108" spans="1:11">
      <c r="A108" s="193">
        <v>2432</v>
      </c>
      <c r="B108" s="194" t="s">
        <v>99</v>
      </c>
      <c r="C108" s="213">
        <f>ROUND(VLOOKUP(A108,'Contribution Allocation_Report'!$A$9:$D$314,4,FALSE)*$C$315,0)</f>
        <v>3762174</v>
      </c>
      <c r="D108" s="213">
        <f>ROUND(VLOOKUP(A108,'Contribution Allocation_Report'!$A$9:$D$314,4,FALSE)*$D$315,0)</f>
        <v>2983329</v>
      </c>
      <c r="E108" s="213">
        <f>ROUND(VLOOKUP(A108,'Contribution Allocation_Report'!$A$9:$D$314,4,FALSE)*$E$315,0)</f>
        <v>2344877</v>
      </c>
      <c r="F108" s="8"/>
      <c r="J108" s="227">
        <v>2432</v>
      </c>
      <c r="K108" s="282">
        <f t="shared" si="1"/>
        <v>0</v>
      </c>
    </row>
    <row r="109" spans="1:11" s="190" customFormat="1">
      <c r="A109" s="195">
        <v>7440</v>
      </c>
      <c r="B109" s="196" t="s">
        <v>447</v>
      </c>
      <c r="C109" s="214">
        <f>ROUND(VLOOKUP(A109,'Contribution Allocation_Report'!$A$9:$D$314,4,FALSE)*$C$315,0)</f>
        <v>849576</v>
      </c>
      <c r="D109" s="214">
        <f>ROUND(VLOOKUP(A109,'Contribution Allocation_Report'!$A$9:$D$314,4,FALSE)*$D$315,0)</f>
        <v>673697</v>
      </c>
      <c r="E109" s="214">
        <f>ROUND(VLOOKUP(A109,'Contribution Allocation_Report'!$A$9:$D$314,4,FALSE)*$E$315,0)</f>
        <v>529521</v>
      </c>
      <c r="F109" s="192"/>
      <c r="J109" s="59">
        <v>7440</v>
      </c>
      <c r="K109" s="282">
        <f t="shared" si="1"/>
        <v>0</v>
      </c>
    </row>
    <row r="110" spans="1:11" s="190" customFormat="1">
      <c r="A110" s="193">
        <v>29125</v>
      </c>
      <c r="B110" s="194" t="s">
        <v>483</v>
      </c>
      <c r="C110" s="213">
        <f>ROUND(VLOOKUP(A110,'Contribution Allocation_Report'!$A$9:$D$314,4,FALSE)*$C$315,0)</f>
        <v>581753</v>
      </c>
      <c r="D110" s="213">
        <f>ROUND(VLOOKUP(A110,'Contribution Allocation_Report'!$A$9:$D$314,4,FALSE)*$D$315,0)</f>
        <v>461318</v>
      </c>
      <c r="E110" s="213">
        <f>ROUND(VLOOKUP(A110,'Contribution Allocation_Report'!$A$9:$D$314,4,FALSE)*$E$315,0)</f>
        <v>362593</v>
      </c>
      <c r="F110" s="192"/>
      <c r="J110" s="59"/>
      <c r="K110" s="282"/>
    </row>
    <row r="111" spans="1:11">
      <c r="A111" s="195">
        <v>16052</v>
      </c>
      <c r="B111" s="196" t="s">
        <v>100</v>
      </c>
      <c r="C111" s="214">
        <f>ROUND(VLOOKUP(A111,'Contribution Allocation_Report'!$A$9:$D$314,4,FALSE)*$C$315,0)</f>
        <v>29681655</v>
      </c>
      <c r="D111" s="214">
        <f>ROUND(VLOOKUP(A111,'Contribution Allocation_Report'!$A$9:$D$314,4,FALSE)*$D$315,0)</f>
        <v>23536959</v>
      </c>
      <c r="E111" s="214">
        <f>ROUND(VLOOKUP(A111,'Contribution Allocation_Report'!$A$9:$D$314,4,FALSE)*$E$315,0)</f>
        <v>18499893</v>
      </c>
      <c r="F111" s="8"/>
      <c r="J111" s="59">
        <v>16052</v>
      </c>
      <c r="K111" s="282">
        <f t="shared" si="1"/>
        <v>0</v>
      </c>
    </row>
    <row r="112" spans="1:11">
      <c r="A112" s="193">
        <v>11118</v>
      </c>
      <c r="B112" s="194" t="s">
        <v>101</v>
      </c>
      <c r="C112" s="213">
        <f>ROUND(VLOOKUP(A112,'Contribution Allocation_Report'!$A$9:$D$314,4,FALSE)*$C$315,0)</f>
        <v>807728</v>
      </c>
      <c r="D112" s="213">
        <f>ROUND(VLOOKUP(A112,'Contribution Allocation_Report'!$A$9:$D$314,4,FALSE)*$D$315,0)</f>
        <v>640512</v>
      </c>
      <c r="E112" s="213">
        <f>ROUND(VLOOKUP(A112,'Contribution Allocation_Report'!$A$9:$D$314,4,FALSE)*$E$315,0)</f>
        <v>503438</v>
      </c>
      <c r="F112" s="8"/>
      <c r="J112" s="227">
        <v>11118</v>
      </c>
      <c r="K112" s="282">
        <f t="shared" si="1"/>
        <v>0</v>
      </c>
    </row>
    <row r="113" spans="1:11">
      <c r="A113" s="195">
        <v>27083</v>
      </c>
      <c r="B113" s="196" t="s">
        <v>102</v>
      </c>
      <c r="C113" s="214">
        <f>ROUND(VLOOKUP(A113,'Contribution Allocation_Report'!$A$9:$D$314,4,FALSE)*$C$315,0)</f>
        <v>1079545</v>
      </c>
      <c r="D113" s="214">
        <f>ROUND(VLOOKUP(A113,'Contribution Allocation_Report'!$A$9:$D$314,4,FALSE)*$D$315,0)</f>
        <v>856057</v>
      </c>
      <c r="E113" s="214">
        <f>ROUND(VLOOKUP(A113,'Contribution Allocation_Report'!$A$9:$D$314,4,FALSE)*$E$315,0)</f>
        <v>672855</v>
      </c>
      <c r="F113" s="8"/>
      <c r="J113" s="59">
        <v>27083</v>
      </c>
      <c r="K113" s="282">
        <f t="shared" si="1"/>
        <v>0</v>
      </c>
    </row>
    <row r="114" spans="1:11">
      <c r="A114" s="193">
        <v>7021</v>
      </c>
      <c r="B114" s="194" t="s">
        <v>103</v>
      </c>
      <c r="C114" s="213">
        <f>ROUND(VLOOKUP(A114,'Contribution Allocation_Report'!$A$9:$D$314,4,FALSE)*$C$315,0)</f>
        <v>39216681</v>
      </c>
      <c r="D114" s="213">
        <f>ROUND(VLOOKUP(A114,'Contribution Allocation_Report'!$A$9:$D$314,4,FALSE)*$D$315,0)</f>
        <v>31098045</v>
      </c>
      <c r="E114" s="213">
        <f>ROUND(VLOOKUP(A114,'Contribution Allocation_Report'!$A$9:$D$314,4,FALSE)*$E$315,0)</f>
        <v>24442856</v>
      </c>
      <c r="F114" s="8"/>
      <c r="J114" s="227">
        <v>7021</v>
      </c>
      <c r="K114" s="282">
        <f t="shared" si="1"/>
        <v>0</v>
      </c>
    </row>
    <row r="115" spans="1:11">
      <c r="A115" s="195">
        <v>4140</v>
      </c>
      <c r="B115" s="196" t="s">
        <v>104</v>
      </c>
      <c r="C115" s="214">
        <f>ROUND(VLOOKUP(A115,'Contribution Allocation_Report'!$A$9:$D$314,4,FALSE)*$C$315,0)</f>
        <v>266056</v>
      </c>
      <c r="D115" s="214">
        <f>ROUND(VLOOKUP(A115,'Contribution Allocation_Report'!$A$9:$D$314,4,FALSE)*$D$315,0)</f>
        <v>210977</v>
      </c>
      <c r="E115" s="214">
        <f>ROUND(VLOOKUP(A115,'Contribution Allocation_Report'!$A$9:$D$314,4,FALSE)*$E$315,0)</f>
        <v>165826</v>
      </c>
      <c r="F115" s="8"/>
      <c r="J115" s="59">
        <v>4140</v>
      </c>
      <c r="K115" s="282">
        <f t="shared" si="1"/>
        <v>0</v>
      </c>
    </row>
    <row r="116" spans="1:11">
      <c r="A116" s="193">
        <v>13041</v>
      </c>
      <c r="B116" s="194" t="s">
        <v>105</v>
      </c>
      <c r="C116" s="213">
        <f>ROUND(VLOOKUP(A116,'Contribution Allocation_Report'!$A$9:$D$314,4,FALSE)*$C$315,0)</f>
        <v>36115696</v>
      </c>
      <c r="D116" s="213">
        <f>ROUND(VLOOKUP(A116,'Contribution Allocation_Report'!$A$9:$D$314,4,FALSE)*$D$315,0)</f>
        <v>28639026</v>
      </c>
      <c r="E116" s="213">
        <f>ROUND(VLOOKUP(A116,'Contribution Allocation_Report'!$A$9:$D$314,4,FALSE)*$E$315,0)</f>
        <v>22510083</v>
      </c>
      <c r="F116" s="8"/>
      <c r="J116" s="227">
        <v>13041</v>
      </c>
      <c r="K116" s="282">
        <f t="shared" si="1"/>
        <v>0</v>
      </c>
    </row>
    <row r="117" spans="1:11">
      <c r="A117" s="195">
        <v>2339</v>
      </c>
      <c r="B117" s="196" t="s">
        <v>106</v>
      </c>
      <c r="C117" s="214">
        <f>ROUND(VLOOKUP(A117,'Contribution Allocation_Report'!$A$9:$D$314,4,FALSE)*$C$315,0)</f>
        <v>530715</v>
      </c>
      <c r="D117" s="214">
        <f>ROUND(VLOOKUP(A117,'Contribution Allocation_Report'!$A$9:$D$314,4,FALSE)*$D$315,0)</f>
        <v>420847</v>
      </c>
      <c r="E117" s="214">
        <f>ROUND(VLOOKUP(A117,'Contribution Allocation_Report'!$A$9:$D$314,4,FALSE)*$E$315,0)</f>
        <v>330783</v>
      </c>
      <c r="F117" s="8"/>
      <c r="J117" s="59">
        <v>2339</v>
      </c>
      <c r="K117" s="282">
        <f t="shared" si="1"/>
        <v>0</v>
      </c>
    </row>
    <row r="118" spans="1:11">
      <c r="A118" s="193">
        <v>2362</v>
      </c>
      <c r="B118" s="194" t="s">
        <v>107</v>
      </c>
      <c r="C118" s="213">
        <f>ROUND(VLOOKUP(A118,'Contribution Allocation_Report'!$A$9:$D$314,4,FALSE)*$C$315,0)</f>
        <v>591313</v>
      </c>
      <c r="D118" s="213">
        <f>ROUND(VLOOKUP(A118,'Contribution Allocation_Report'!$A$9:$D$314,4,FALSE)*$D$315,0)</f>
        <v>468900</v>
      </c>
      <c r="E118" s="213">
        <f>ROUND(VLOOKUP(A118,'Contribution Allocation_Report'!$A$9:$D$314,4,FALSE)*$E$315,0)</f>
        <v>368552</v>
      </c>
      <c r="F118" s="8"/>
      <c r="J118" s="227">
        <v>2362</v>
      </c>
      <c r="K118" s="282">
        <f t="shared" si="1"/>
        <v>0</v>
      </c>
    </row>
    <row r="119" spans="1:11">
      <c r="A119" s="195">
        <v>5013</v>
      </c>
      <c r="B119" s="196" t="s">
        <v>108</v>
      </c>
      <c r="C119" s="214">
        <f>ROUND(VLOOKUP(A119,'Contribution Allocation_Report'!$A$9:$D$314,4,FALSE)*$C$315,0)</f>
        <v>637332</v>
      </c>
      <c r="D119" s="214">
        <f>ROUND(VLOOKUP(A119,'Contribution Allocation_Report'!$A$9:$D$314,4,FALSE)*$D$315,0)</f>
        <v>505392</v>
      </c>
      <c r="E119" s="214">
        <f>ROUND(VLOOKUP(A119,'Contribution Allocation_Report'!$A$9:$D$314,4,FALSE)*$E$315,0)</f>
        <v>397234</v>
      </c>
      <c r="F119" s="8"/>
      <c r="J119" s="59">
        <v>5013</v>
      </c>
      <c r="K119" s="282">
        <f t="shared" si="1"/>
        <v>0</v>
      </c>
    </row>
    <row r="120" spans="1:11">
      <c r="A120" s="193">
        <v>3110</v>
      </c>
      <c r="B120" s="194" t="s">
        <v>109</v>
      </c>
      <c r="C120" s="213">
        <f>ROUND(VLOOKUP(A120,'Contribution Allocation_Report'!$A$9:$D$314,4,FALSE)*$C$315,0)</f>
        <v>2812079</v>
      </c>
      <c r="D120" s="213">
        <f>ROUND(VLOOKUP(A120,'Contribution Allocation_Report'!$A$9:$D$314,4,FALSE)*$D$315,0)</f>
        <v>2229922</v>
      </c>
      <c r="E120" s="213">
        <f>ROUND(VLOOKUP(A120,'Contribution Allocation_Report'!$A$9:$D$314,4,FALSE)*$E$315,0)</f>
        <v>1752704</v>
      </c>
      <c r="F120" s="8"/>
      <c r="J120" s="227">
        <v>3110</v>
      </c>
      <c r="K120" s="282">
        <f t="shared" si="1"/>
        <v>0</v>
      </c>
    </row>
    <row r="121" spans="1:11">
      <c r="A121" s="195">
        <v>14044</v>
      </c>
      <c r="B121" s="196" t="s">
        <v>110</v>
      </c>
      <c r="C121" s="214">
        <f>ROUND(VLOOKUP(A121,'Contribution Allocation_Report'!$A$9:$D$314,4,FALSE)*$C$315,0)</f>
        <v>10944618</v>
      </c>
      <c r="D121" s="214">
        <f>ROUND(VLOOKUP(A121,'Contribution Allocation_Report'!$A$9:$D$314,4,FALSE)*$D$315,0)</f>
        <v>8678863</v>
      </c>
      <c r="E121" s="214">
        <f>ROUND(VLOOKUP(A121,'Contribution Allocation_Report'!$A$9:$D$314,4,FALSE)*$E$315,0)</f>
        <v>6821529</v>
      </c>
      <c r="F121" s="8"/>
      <c r="J121" s="59">
        <v>14044</v>
      </c>
      <c r="K121" s="282">
        <f t="shared" si="1"/>
        <v>0</v>
      </c>
    </row>
    <row r="122" spans="1:11">
      <c r="A122" s="193">
        <v>4009</v>
      </c>
      <c r="B122" s="194" t="s">
        <v>111</v>
      </c>
      <c r="C122" s="213">
        <f>ROUND(VLOOKUP(A122,'Contribution Allocation_Report'!$A$9:$D$314,4,FALSE)*$C$315,0)</f>
        <v>1443328</v>
      </c>
      <c r="D122" s="213">
        <f>ROUND(VLOOKUP(A122,'Contribution Allocation_Report'!$A$9:$D$314,4,FALSE)*$D$315,0)</f>
        <v>1144530</v>
      </c>
      <c r="E122" s="213">
        <f>ROUND(VLOOKUP(A122,'Contribution Allocation_Report'!$A$9:$D$314,4,FALSE)*$E$315,0)</f>
        <v>899593</v>
      </c>
      <c r="F122" s="8"/>
      <c r="J122" s="227">
        <v>4009</v>
      </c>
      <c r="K122" s="282">
        <f t="shared" si="1"/>
        <v>0</v>
      </c>
    </row>
    <row r="123" spans="1:11">
      <c r="A123" s="195">
        <v>7022</v>
      </c>
      <c r="B123" s="196" t="s">
        <v>112</v>
      </c>
      <c r="C123" s="214">
        <f>ROUND(VLOOKUP(A123,'Contribution Allocation_Report'!$A$9:$D$314,4,FALSE)*$C$315,0)</f>
        <v>4082448</v>
      </c>
      <c r="D123" s="214">
        <f>ROUND(VLOOKUP(A123,'Contribution Allocation_Report'!$A$9:$D$314,4,FALSE)*$D$315,0)</f>
        <v>3237300</v>
      </c>
      <c r="E123" s="214">
        <f>ROUND(VLOOKUP(A123,'Contribution Allocation_Report'!$A$9:$D$314,4,FALSE)*$E$315,0)</f>
        <v>2544496</v>
      </c>
      <c r="F123" s="8"/>
      <c r="J123" s="59">
        <v>7022</v>
      </c>
      <c r="K123" s="282">
        <f t="shared" si="1"/>
        <v>0</v>
      </c>
    </row>
    <row r="124" spans="1:11">
      <c r="A124" s="193">
        <v>2430</v>
      </c>
      <c r="B124" s="194" t="s">
        <v>113</v>
      </c>
      <c r="C124" s="213">
        <f>ROUND(VLOOKUP(A124,'Contribution Allocation_Report'!$A$9:$D$314,4,FALSE)*$C$315,0)</f>
        <v>526403</v>
      </c>
      <c r="D124" s="213">
        <f>ROUND(VLOOKUP(A124,'Contribution Allocation_Report'!$A$9:$D$314,4,FALSE)*$D$315,0)</f>
        <v>417427</v>
      </c>
      <c r="E124" s="213">
        <f>ROUND(VLOOKUP(A124,'Contribution Allocation_Report'!$A$9:$D$314,4,FALSE)*$E$315,0)</f>
        <v>328095</v>
      </c>
      <c r="F124" s="8"/>
      <c r="J124" s="227">
        <v>2430</v>
      </c>
      <c r="K124" s="282">
        <f t="shared" si="1"/>
        <v>0</v>
      </c>
    </row>
    <row r="125" spans="1:11">
      <c r="A125" s="195">
        <v>9150</v>
      </c>
      <c r="B125" s="196" t="s">
        <v>114</v>
      </c>
      <c r="C125" s="214">
        <f>ROUND(VLOOKUP(A125,'Contribution Allocation_Report'!$A$9:$D$314,4,FALSE)*$C$315,0)</f>
        <v>295215</v>
      </c>
      <c r="D125" s="214">
        <f>ROUND(VLOOKUP(A125,'Contribution Allocation_Report'!$A$9:$D$314,4,FALSE)*$D$315,0)</f>
        <v>234100</v>
      </c>
      <c r="E125" s="214">
        <f>ROUND(VLOOKUP(A125,'Contribution Allocation_Report'!$A$9:$D$314,4,FALSE)*$E$315,0)</f>
        <v>184001</v>
      </c>
      <c r="F125" s="8"/>
      <c r="J125" s="59">
        <v>9150</v>
      </c>
      <c r="K125" s="282">
        <f t="shared" si="1"/>
        <v>0</v>
      </c>
    </row>
    <row r="126" spans="1:11">
      <c r="A126" s="193">
        <v>6017</v>
      </c>
      <c r="B126" s="194" t="s">
        <v>115</v>
      </c>
      <c r="C126" s="213">
        <f>ROUND(VLOOKUP(A126,'Contribution Allocation_Report'!$A$9:$D$314,4,FALSE)*$C$315,0)</f>
        <v>28296504</v>
      </c>
      <c r="D126" s="213">
        <f>ROUND(VLOOKUP(A126,'Contribution Allocation_Report'!$A$9:$D$314,4,FALSE)*$D$315,0)</f>
        <v>22438562</v>
      </c>
      <c r="E126" s="213">
        <f>ROUND(VLOOKUP(A126,'Contribution Allocation_Report'!$A$9:$D$314,4,FALSE)*$E$315,0)</f>
        <v>17636560</v>
      </c>
      <c r="F126" s="8"/>
      <c r="J126" s="227">
        <v>6017</v>
      </c>
      <c r="K126" s="282">
        <f t="shared" si="1"/>
        <v>0</v>
      </c>
    </row>
    <row r="127" spans="1:11">
      <c r="A127" s="195">
        <v>26080</v>
      </c>
      <c r="B127" s="196" t="s">
        <v>116</v>
      </c>
      <c r="C127" s="214">
        <f>ROUND(VLOOKUP(A127,'Contribution Allocation_Report'!$A$9:$D$314,4,FALSE)*$C$315,0)</f>
        <v>837912</v>
      </c>
      <c r="D127" s="214">
        <f>ROUND(VLOOKUP(A127,'Contribution Allocation_Report'!$A$9:$D$314,4,FALSE)*$D$315,0)</f>
        <v>664447</v>
      </c>
      <c r="E127" s="214">
        <f>ROUND(VLOOKUP(A127,'Contribution Allocation_Report'!$A$9:$D$314,4,FALSE)*$E$315,0)</f>
        <v>522251</v>
      </c>
      <c r="F127" s="8"/>
      <c r="J127" s="59">
        <v>26080</v>
      </c>
      <c r="K127" s="282">
        <f t="shared" si="1"/>
        <v>0</v>
      </c>
    </row>
    <row r="128" spans="1:11">
      <c r="A128" s="193">
        <v>2327</v>
      </c>
      <c r="B128" s="194" t="s">
        <v>117</v>
      </c>
      <c r="C128" s="213">
        <f>ROUND(VLOOKUP(A128,'Contribution Allocation_Report'!$A$9:$D$314,4,FALSE)*$C$315,0)</f>
        <v>1046763</v>
      </c>
      <c r="D128" s="213">
        <f>ROUND(VLOOKUP(A128,'Contribution Allocation_Report'!$A$9:$D$314,4,FALSE)*$D$315,0)</f>
        <v>830062</v>
      </c>
      <c r="E128" s="213">
        <f>ROUND(VLOOKUP(A128,'Contribution Allocation_Report'!$A$9:$D$314,4,FALSE)*$E$315,0)</f>
        <v>652423</v>
      </c>
      <c r="F128" s="8"/>
      <c r="J128" s="227">
        <v>2327</v>
      </c>
      <c r="K128" s="282">
        <f t="shared" si="1"/>
        <v>0</v>
      </c>
    </row>
    <row r="129" spans="1:11">
      <c r="A129" s="195">
        <v>10119</v>
      </c>
      <c r="B129" s="196" t="s">
        <v>118</v>
      </c>
      <c r="C129" s="214">
        <f>ROUND(VLOOKUP(A129,'Contribution Allocation_Report'!$A$9:$D$314,4,FALSE)*$C$315,0)</f>
        <v>481127</v>
      </c>
      <c r="D129" s="214">
        <f>ROUND(VLOOKUP(A129,'Contribution Allocation_Report'!$A$9:$D$314,4,FALSE)*$D$315,0)</f>
        <v>381524</v>
      </c>
      <c r="E129" s="214">
        <f>ROUND(VLOOKUP(A129,'Contribution Allocation_Report'!$A$9:$D$314,4,FALSE)*$E$315,0)</f>
        <v>299875</v>
      </c>
      <c r="F129" s="8"/>
      <c r="J129" s="59">
        <v>10119</v>
      </c>
      <c r="K129" s="282">
        <f t="shared" si="1"/>
        <v>0</v>
      </c>
    </row>
    <row r="130" spans="1:11">
      <c r="A130" s="193">
        <v>573</v>
      </c>
      <c r="B130" s="194" t="s">
        <v>399</v>
      </c>
      <c r="C130" s="213">
        <f>ROUND(VLOOKUP(A130,'Contribution Allocation_Report'!$A$9:$D$314,4,FALSE)*$C$315,0)</f>
        <v>2462045</v>
      </c>
      <c r="D130" s="213">
        <f>ROUND(VLOOKUP(A130,'Contribution Allocation_Report'!$A$9:$D$314,4,FALSE)*$D$315,0)</f>
        <v>1952352</v>
      </c>
      <c r="E130" s="213">
        <f>ROUND(VLOOKUP(A130,'Contribution Allocation_Report'!$A$9:$D$314,4,FALSE)*$E$315,0)</f>
        <v>1534536</v>
      </c>
      <c r="F130" s="8"/>
      <c r="J130" s="227">
        <v>573</v>
      </c>
      <c r="K130" s="282">
        <f t="shared" si="1"/>
        <v>0</v>
      </c>
    </row>
    <row r="131" spans="1:11">
      <c r="A131" s="195">
        <v>2368</v>
      </c>
      <c r="B131" s="196" t="s">
        <v>119</v>
      </c>
      <c r="C131" s="214">
        <f>ROUND(VLOOKUP(A131,'Contribution Allocation_Report'!$A$9:$D$314,4,FALSE)*$C$315,0)</f>
        <v>1013238</v>
      </c>
      <c r="D131" s="214">
        <f>ROUND(VLOOKUP(A131,'Contribution Allocation_Report'!$A$9:$D$314,4,FALSE)*$D$315,0)</f>
        <v>803478</v>
      </c>
      <c r="E131" s="214">
        <f>ROUND(VLOOKUP(A131,'Contribution Allocation_Report'!$A$9:$D$314,4,FALSE)*$E$315,0)</f>
        <v>631528</v>
      </c>
      <c r="F131" s="8"/>
      <c r="J131" s="59">
        <v>2368</v>
      </c>
      <c r="K131" s="282">
        <f t="shared" si="1"/>
        <v>0</v>
      </c>
    </row>
    <row r="132" spans="1:11">
      <c r="A132" s="193">
        <v>7420</v>
      </c>
      <c r="B132" s="194" t="s">
        <v>120</v>
      </c>
      <c r="C132" s="213">
        <f>ROUND(VLOOKUP(A132,'Contribution Allocation_Report'!$A$9:$D$314,4,FALSE)*$C$315,0)</f>
        <v>608668</v>
      </c>
      <c r="D132" s="213">
        <f>ROUND(VLOOKUP(A132,'Contribution Allocation_Report'!$A$9:$D$314,4,FALSE)*$D$315,0)</f>
        <v>482661</v>
      </c>
      <c r="E132" s="213">
        <f>ROUND(VLOOKUP(A132,'Contribution Allocation_Report'!$A$9:$D$314,4,FALSE)*$E$315,0)</f>
        <v>379369</v>
      </c>
      <c r="F132" s="8"/>
      <c r="J132" s="227">
        <v>7420</v>
      </c>
      <c r="K132" s="282">
        <f t="shared" si="1"/>
        <v>0</v>
      </c>
    </row>
    <row r="133" spans="1:11">
      <c r="A133" s="195">
        <v>6018</v>
      </c>
      <c r="B133" s="196" t="s">
        <v>121</v>
      </c>
      <c r="C133" s="214">
        <f>ROUND(VLOOKUP(A133,'Contribution Allocation_Report'!$A$9:$D$314,4,FALSE)*$C$315,0)</f>
        <v>2066805</v>
      </c>
      <c r="D133" s="214">
        <f>ROUND(VLOOKUP(A133,'Contribution Allocation_Report'!$A$9:$D$314,4,FALSE)*$D$315,0)</f>
        <v>1638935</v>
      </c>
      <c r="E133" s="214">
        <f>ROUND(VLOOKUP(A133,'Contribution Allocation_Report'!$A$9:$D$314,4,FALSE)*$E$315,0)</f>
        <v>1288192</v>
      </c>
      <c r="F133" s="8"/>
      <c r="J133" s="59">
        <v>6018</v>
      </c>
      <c r="K133" s="282">
        <f t="shared" si="1"/>
        <v>0</v>
      </c>
    </row>
    <row r="134" spans="1:11">
      <c r="A134" s="193">
        <v>3321</v>
      </c>
      <c r="B134" s="194" t="s">
        <v>122</v>
      </c>
      <c r="C134" s="213">
        <f>ROUND(VLOOKUP(A134,'Contribution Allocation_Report'!$A$9:$D$314,4,FALSE)*$C$315,0)</f>
        <v>615789</v>
      </c>
      <c r="D134" s="213">
        <f>ROUND(VLOOKUP(A134,'Contribution Allocation_Report'!$A$9:$D$314,4,FALSE)*$D$315,0)</f>
        <v>488309</v>
      </c>
      <c r="E134" s="213">
        <f>ROUND(VLOOKUP(A134,'Contribution Allocation_Report'!$A$9:$D$314,4,FALSE)*$E$315,0)</f>
        <v>383807</v>
      </c>
      <c r="F134" s="8"/>
      <c r="J134" s="227">
        <v>3321</v>
      </c>
      <c r="K134" s="282">
        <f t="shared" si="1"/>
        <v>0</v>
      </c>
    </row>
    <row r="135" spans="1:11">
      <c r="A135" s="195">
        <v>29122</v>
      </c>
      <c r="B135" s="196" t="s">
        <v>123</v>
      </c>
      <c r="C135" s="214">
        <f>ROUND(VLOOKUP(A135,'Contribution Allocation_Report'!$A$9:$D$314,4,FALSE)*$C$315,0)</f>
        <v>796029</v>
      </c>
      <c r="D135" s="214">
        <f>ROUND(VLOOKUP(A135,'Contribution Allocation_Report'!$A$9:$D$314,4,FALSE)*$D$315,0)</f>
        <v>631235</v>
      </c>
      <c r="E135" s="214">
        <f>ROUND(VLOOKUP(A135,'Contribution Allocation_Report'!$A$9:$D$314,4,FALSE)*$E$315,0)</f>
        <v>496146</v>
      </c>
      <c r="F135" s="8"/>
      <c r="J135" s="59">
        <v>29122</v>
      </c>
      <c r="K135" s="282">
        <f t="shared" si="1"/>
        <v>0</v>
      </c>
    </row>
    <row r="136" spans="1:11">
      <c r="A136" s="193">
        <v>29088</v>
      </c>
      <c r="B136" s="194" t="s">
        <v>124</v>
      </c>
      <c r="C136" s="213">
        <f>ROUND(VLOOKUP(A136,'Contribution Allocation_Report'!$A$9:$D$314,4,FALSE)*$C$315,0)</f>
        <v>1189431</v>
      </c>
      <c r="D136" s="213">
        <f>ROUND(VLOOKUP(A136,'Contribution Allocation_Report'!$A$9:$D$314,4,FALSE)*$D$315,0)</f>
        <v>943195</v>
      </c>
      <c r="E136" s="213">
        <f>ROUND(VLOOKUP(A136,'Contribution Allocation_Report'!$A$9:$D$314,4,FALSE)*$E$315,0)</f>
        <v>741345</v>
      </c>
      <c r="F136" s="8"/>
      <c r="J136" s="227">
        <v>29088</v>
      </c>
      <c r="K136" s="282">
        <f t="shared" si="1"/>
        <v>0</v>
      </c>
    </row>
    <row r="137" spans="1:11">
      <c r="A137" s="195">
        <v>7337</v>
      </c>
      <c r="B137" s="196" t="s">
        <v>125</v>
      </c>
      <c r="C137" s="214">
        <f>ROUND(VLOOKUP(A137,'Contribution Allocation_Report'!$A$9:$D$314,4,FALSE)*$C$315,0)</f>
        <v>235960</v>
      </c>
      <c r="D137" s="214">
        <f>ROUND(VLOOKUP(A137,'Contribution Allocation_Report'!$A$9:$D$314,4,FALSE)*$D$315,0)</f>
        <v>187111</v>
      </c>
      <c r="E137" s="214">
        <f>ROUND(VLOOKUP(A137,'Contribution Allocation_Report'!$A$9:$D$314,4,FALSE)*$E$315,0)</f>
        <v>147068</v>
      </c>
      <c r="F137" s="8"/>
      <c r="J137" s="59">
        <v>7337</v>
      </c>
      <c r="K137" s="282">
        <f t="shared" si="1"/>
        <v>0</v>
      </c>
    </row>
    <row r="138" spans="1:11">
      <c r="A138" s="193">
        <v>2329</v>
      </c>
      <c r="B138" s="194" t="s">
        <v>126</v>
      </c>
      <c r="C138" s="213">
        <f>ROUND(VLOOKUP(A138,'Contribution Allocation_Report'!$A$9:$D$314,4,FALSE)*$C$315,0)</f>
        <v>805695</v>
      </c>
      <c r="D138" s="213">
        <f>ROUND(VLOOKUP(A138,'Contribution Allocation_Report'!$A$9:$D$314,4,FALSE)*$D$315,0)</f>
        <v>638900</v>
      </c>
      <c r="E138" s="213">
        <f>ROUND(VLOOKUP(A138,'Contribution Allocation_Report'!$A$9:$D$314,4,FALSE)*$E$315,0)</f>
        <v>502171</v>
      </c>
      <c r="F138" s="8"/>
      <c r="J138" s="227">
        <v>2329</v>
      </c>
      <c r="K138" s="282">
        <f t="shared" si="1"/>
        <v>0</v>
      </c>
    </row>
    <row r="139" spans="1:11">
      <c r="A139" s="195">
        <v>4010</v>
      </c>
      <c r="B139" s="196" t="s">
        <v>129</v>
      </c>
      <c r="C139" s="214">
        <f>ROUND(VLOOKUP(A139,'Contribution Allocation_Report'!$A$9:$D$314,4,FALSE)*$C$315,0)</f>
        <v>668294</v>
      </c>
      <c r="D139" s="214">
        <f>ROUND(VLOOKUP(A139,'Contribution Allocation_Report'!$A$9:$D$314,4,FALSE)*$D$315,0)</f>
        <v>529944</v>
      </c>
      <c r="E139" s="214">
        <f>ROUND(VLOOKUP(A139,'Contribution Allocation_Report'!$A$9:$D$314,4,FALSE)*$E$315,0)</f>
        <v>416532</v>
      </c>
      <c r="F139" s="8"/>
      <c r="J139" s="227">
        <v>4010</v>
      </c>
      <c r="K139" s="282">
        <f t="shared" ref="K139:K203" si="2">+A139-J139</f>
        <v>0</v>
      </c>
    </row>
    <row r="140" spans="1:11">
      <c r="A140" s="193">
        <v>7023</v>
      </c>
      <c r="B140" s="194" t="s">
        <v>130</v>
      </c>
      <c r="C140" s="213">
        <f>ROUND(VLOOKUP(A140,'Contribution Allocation_Report'!$A$9:$D$314,4,FALSE)*$C$315,0)</f>
        <v>74334019</v>
      </c>
      <c r="D140" s="213">
        <f>ROUND(VLOOKUP(A140,'Contribution Allocation_Report'!$A$9:$D$314,4,FALSE)*$D$315,0)</f>
        <v>58945392</v>
      </c>
      <c r="E140" s="213">
        <f>ROUND(VLOOKUP(A140,'Contribution Allocation_Report'!$A$9:$D$314,4,FALSE)*$E$315,0)</f>
        <v>46330685</v>
      </c>
      <c r="F140" s="8"/>
      <c r="J140" s="59">
        <v>7023</v>
      </c>
      <c r="K140" s="282">
        <f t="shared" si="2"/>
        <v>0</v>
      </c>
    </row>
    <row r="141" spans="1:11">
      <c r="A141" s="195">
        <v>7338</v>
      </c>
      <c r="B141" s="196" t="s">
        <v>131</v>
      </c>
      <c r="C141" s="214">
        <f>ROUND(VLOOKUP(A141,'Contribution Allocation_Report'!$A$9:$D$314,4,FALSE)*$C$315,0)</f>
        <v>544694</v>
      </c>
      <c r="D141" s="214">
        <f>ROUND(VLOOKUP(A141,'Contribution Allocation_Report'!$A$9:$D$314,4,FALSE)*$D$315,0)</f>
        <v>431931</v>
      </c>
      <c r="E141" s="214">
        <f>ROUND(VLOOKUP(A141,'Contribution Allocation_Report'!$A$9:$D$314,4,FALSE)*$E$315,0)</f>
        <v>339495</v>
      </c>
      <c r="F141" s="8"/>
      <c r="J141" s="227">
        <v>7338</v>
      </c>
      <c r="K141" s="282">
        <f t="shared" si="2"/>
        <v>0</v>
      </c>
    </row>
    <row r="142" spans="1:11">
      <c r="A142" s="193">
        <v>12037</v>
      </c>
      <c r="B142" s="194" t="s">
        <v>132</v>
      </c>
      <c r="C142" s="213">
        <f>ROUND(VLOOKUP(A142,'Contribution Allocation_Report'!$A$9:$D$314,4,FALSE)*$C$315,0)</f>
        <v>4335833</v>
      </c>
      <c r="D142" s="213">
        <f>ROUND(VLOOKUP(A142,'Contribution Allocation_Report'!$A$9:$D$314,4,FALSE)*$D$315,0)</f>
        <v>3438229</v>
      </c>
      <c r="E142" s="213">
        <f>ROUND(VLOOKUP(A142,'Contribution Allocation_Report'!$A$9:$D$314,4,FALSE)*$E$315,0)</f>
        <v>2702425</v>
      </c>
      <c r="F142" s="8"/>
      <c r="J142" s="59">
        <v>12037</v>
      </c>
      <c r="K142" s="282">
        <f t="shared" si="2"/>
        <v>0</v>
      </c>
    </row>
    <row r="143" spans="1:11">
      <c r="A143" s="195">
        <v>3150</v>
      </c>
      <c r="B143" s="196" t="s">
        <v>133</v>
      </c>
      <c r="C143" s="214">
        <f>ROUND(VLOOKUP(A143,'Contribution Allocation_Report'!$A$9:$D$314,4,FALSE)*$C$315,0)</f>
        <v>9744902</v>
      </c>
      <c r="D143" s="214">
        <f>ROUND(VLOOKUP(A143,'Contribution Allocation_Report'!$A$9:$D$314,4,FALSE)*$D$315,0)</f>
        <v>7727513</v>
      </c>
      <c r="E143" s="214">
        <f>ROUND(VLOOKUP(A143,'Contribution Allocation_Report'!$A$9:$D$314,4,FALSE)*$E$315,0)</f>
        <v>6073773</v>
      </c>
      <c r="F143" s="8"/>
      <c r="J143" s="227">
        <v>3150</v>
      </c>
      <c r="K143" s="282">
        <f t="shared" si="2"/>
        <v>0</v>
      </c>
    </row>
    <row r="144" spans="1:11">
      <c r="A144" s="193">
        <v>3160</v>
      </c>
      <c r="B144" s="194" t="s">
        <v>134</v>
      </c>
      <c r="C144" s="213">
        <f>ROUND(VLOOKUP(A144,'Contribution Allocation_Report'!$A$9:$D$314,4,FALSE)*$C$315,0)</f>
        <v>2085237</v>
      </c>
      <c r="D144" s="213">
        <f>ROUND(VLOOKUP(A144,'Contribution Allocation_Report'!$A$9:$D$314,4,FALSE)*$D$315,0)</f>
        <v>1653551</v>
      </c>
      <c r="E144" s="213">
        <f>ROUND(VLOOKUP(A144,'Contribution Allocation_Report'!$A$9:$D$314,4,FALSE)*$E$315,0)</f>
        <v>1299680</v>
      </c>
      <c r="F144" s="8"/>
      <c r="J144" s="59">
        <v>3160</v>
      </c>
      <c r="K144" s="282">
        <f t="shared" si="2"/>
        <v>0</v>
      </c>
    </row>
    <row r="145" spans="1:11">
      <c r="A145" s="195">
        <v>10120</v>
      </c>
      <c r="B145" s="196" t="s">
        <v>135</v>
      </c>
      <c r="C145" s="214">
        <f>ROUND(VLOOKUP(A145,'Contribution Allocation_Report'!$A$9:$D$314,4,FALSE)*$C$315,0)</f>
        <v>1017692</v>
      </c>
      <c r="D145" s="214">
        <f>ROUND(VLOOKUP(A145,'Contribution Allocation_Report'!$A$9:$D$314,4,FALSE)*$D$315,0)</f>
        <v>807009</v>
      </c>
      <c r="E145" s="214">
        <f>ROUND(VLOOKUP(A145,'Contribution Allocation_Report'!$A$9:$D$314,4,FALSE)*$E$315,0)</f>
        <v>634304</v>
      </c>
      <c r="F145" s="8"/>
      <c r="J145" s="227">
        <v>10120</v>
      </c>
      <c r="K145" s="282">
        <f t="shared" si="2"/>
        <v>0</v>
      </c>
    </row>
    <row r="146" spans="1:11">
      <c r="A146" s="193">
        <v>23070</v>
      </c>
      <c r="B146" s="194" t="s">
        <v>136</v>
      </c>
      <c r="C146" s="213">
        <f>ROUND(VLOOKUP(A146,'Contribution Allocation_Report'!$A$9:$D$314,4,FALSE)*$C$315,0)</f>
        <v>1508097</v>
      </c>
      <c r="D146" s="213">
        <f>ROUND(VLOOKUP(A146,'Contribution Allocation_Report'!$A$9:$D$314,4,FALSE)*$D$315,0)</f>
        <v>1195891</v>
      </c>
      <c r="E146" s="213">
        <f>ROUND(VLOOKUP(A146,'Contribution Allocation_Report'!$A$9:$D$314,4,FALSE)*$E$315,0)</f>
        <v>939962</v>
      </c>
      <c r="F146" s="8"/>
      <c r="J146" s="59">
        <v>23070</v>
      </c>
      <c r="K146" s="282">
        <f t="shared" si="2"/>
        <v>0</v>
      </c>
    </row>
    <row r="147" spans="1:11">
      <c r="A147" s="195">
        <v>3170</v>
      </c>
      <c r="B147" s="196" t="s">
        <v>137</v>
      </c>
      <c r="C147" s="214">
        <f>ROUND(VLOOKUP(A147,'Contribution Allocation_Report'!$A$9:$D$314,4,FALSE)*$C$315,0)</f>
        <v>22456214</v>
      </c>
      <c r="D147" s="214">
        <f>ROUND(VLOOKUP(A147,'Contribution Allocation_Report'!$A$9:$D$314,4,FALSE)*$D$315,0)</f>
        <v>17807330</v>
      </c>
      <c r="E147" s="214">
        <f>ROUND(VLOOKUP(A147,'Contribution Allocation_Report'!$A$9:$D$314,4,FALSE)*$E$315,0)</f>
        <v>13996442</v>
      </c>
      <c r="F147" s="8"/>
      <c r="J147" s="227">
        <v>3170</v>
      </c>
      <c r="K147" s="282">
        <f t="shared" si="2"/>
        <v>0</v>
      </c>
    </row>
    <row r="148" spans="1:11">
      <c r="A148" s="193">
        <v>32093</v>
      </c>
      <c r="B148" s="194" t="s">
        <v>138</v>
      </c>
      <c r="C148" s="213">
        <f>ROUND(VLOOKUP(A148,'Contribution Allocation_Report'!$A$9:$D$314,4,FALSE)*$C$315,0)</f>
        <v>13662451</v>
      </c>
      <c r="D148" s="213">
        <f>ROUND(VLOOKUP(A148,'Contribution Allocation_Report'!$A$9:$D$314,4,FALSE)*$D$315,0)</f>
        <v>10834050</v>
      </c>
      <c r="E148" s="213">
        <f>ROUND(VLOOKUP(A148,'Contribution Allocation_Report'!$A$9:$D$314,4,FALSE)*$E$315,0)</f>
        <v>8515491</v>
      </c>
      <c r="F148" s="8"/>
      <c r="J148" s="59">
        <v>32093</v>
      </c>
      <c r="K148" s="282">
        <f t="shared" si="2"/>
        <v>0</v>
      </c>
    </row>
    <row r="149" spans="1:11">
      <c r="A149" s="195">
        <v>14045</v>
      </c>
      <c r="B149" s="223" t="s">
        <v>139</v>
      </c>
      <c r="C149" s="238">
        <f>ROUND(VLOOKUP(A149,'Contribution Allocation_Report'!$A$9:$D$314,4,FALSE)*$C$315,0)</f>
        <v>25770857</v>
      </c>
      <c r="D149" s="238">
        <f>ROUND(VLOOKUP(A149,'Contribution Allocation_Report'!$A$9:$D$314,4,FALSE)*$D$315,0)</f>
        <v>20435775</v>
      </c>
      <c r="E149" s="238">
        <f>ROUND(VLOOKUP(A149,'Contribution Allocation_Report'!$A$9:$D$314,4,FALSE)*$E$315,0)</f>
        <v>16062383</v>
      </c>
      <c r="F149" s="8"/>
      <c r="J149" s="227">
        <v>14045</v>
      </c>
      <c r="K149" s="282">
        <f t="shared" si="2"/>
        <v>0</v>
      </c>
    </row>
    <row r="150" spans="1:11">
      <c r="A150" s="193">
        <v>2322</v>
      </c>
      <c r="B150" s="194" t="s">
        <v>140</v>
      </c>
      <c r="C150" s="213">
        <f>ROUND(VLOOKUP(A150,'Contribution Allocation_Report'!$A$9:$D$314,4,FALSE)*$C$315,0)</f>
        <v>461263</v>
      </c>
      <c r="D150" s="213">
        <f>ROUND(VLOOKUP(A150,'Contribution Allocation_Report'!$A$9:$D$314,4,FALSE)*$D$315,0)</f>
        <v>365773</v>
      </c>
      <c r="E150" s="213">
        <f>ROUND(VLOOKUP(A150,'Contribution Allocation_Report'!$A$9:$D$314,4,FALSE)*$E$315,0)</f>
        <v>287495</v>
      </c>
      <c r="F150" s="8"/>
      <c r="J150" s="59">
        <v>2322</v>
      </c>
      <c r="K150" s="282">
        <f t="shared" si="2"/>
        <v>0</v>
      </c>
    </row>
    <row r="151" spans="1:11">
      <c r="A151" s="195">
        <v>3006</v>
      </c>
      <c r="B151" s="196" t="s">
        <v>141</v>
      </c>
      <c r="C151" s="214">
        <f>ROUND(VLOOKUP(A151,'Contribution Allocation_Report'!$A$9:$D$314,4,FALSE)*$C$315,0)</f>
        <v>2019001</v>
      </c>
      <c r="D151" s="214">
        <f>ROUND(VLOOKUP(A151,'Contribution Allocation_Report'!$A$9:$D$314,4,FALSE)*$D$315,0)</f>
        <v>1601028</v>
      </c>
      <c r="E151" s="214">
        <f>ROUND(VLOOKUP(A151,'Contribution Allocation_Report'!$A$9:$D$314,4,FALSE)*$E$315,0)</f>
        <v>1258397</v>
      </c>
      <c r="F151" s="8"/>
      <c r="J151" s="227">
        <v>3006</v>
      </c>
      <c r="K151" s="282">
        <f t="shared" si="2"/>
        <v>0</v>
      </c>
    </row>
    <row r="152" spans="1:11">
      <c r="A152" s="193">
        <v>6019</v>
      </c>
      <c r="B152" s="194" t="s">
        <v>142</v>
      </c>
      <c r="C152" s="213">
        <f>ROUND(VLOOKUP(A152,'Contribution Allocation_Report'!$A$9:$D$314,4,FALSE)*$C$315,0)</f>
        <v>10802586</v>
      </c>
      <c r="D152" s="213">
        <f>ROUND(VLOOKUP(A152,'Contribution Allocation_Report'!$A$9:$D$314,4,FALSE)*$D$315,0)</f>
        <v>8566235</v>
      </c>
      <c r="E152" s="213">
        <f>ROUND(VLOOKUP(A152,'Contribution Allocation_Report'!$A$9:$D$314,4,FALSE)*$E$315,0)</f>
        <v>6733004</v>
      </c>
      <c r="F152" s="8"/>
      <c r="J152" s="59">
        <v>6019</v>
      </c>
      <c r="K152" s="282">
        <f t="shared" si="2"/>
        <v>0</v>
      </c>
    </row>
    <row r="153" spans="1:11">
      <c r="A153" s="195">
        <v>12128</v>
      </c>
      <c r="B153" s="196" t="s">
        <v>143</v>
      </c>
      <c r="C153" s="214">
        <f>ROUND(VLOOKUP(A153,'Contribution Allocation_Report'!$A$9:$D$314,4,FALSE)*$C$315,0)</f>
        <v>2082657</v>
      </c>
      <c r="D153" s="214">
        <f>ROUND(VLOOKUP(A153,'Contribution Allocation_Report'!$A$9:$D$314,4,FALSE)*$D$315,0)</f>
        <v>1651505</v>
      </c>
      <c r="E153" s="214">
        <f>ROUND(VLOOKUP(A153,'Contribution Allocation_Report'!$A$9:$D$314,4,FALSE)*$E$315,0)</f>
        <v>1298072</v>
      </c>
      <c r="F153" s="8"/>
      <c r="J153" s="227">
        <v>12128</v>
      </c>
      <c r="K153" s="282">
        <f t="shared" si="2"/>
        <v>0</v>
      </c>
    </row>
    <row r="154" spans="1:11">
      <c r="A154" s="193">
        <v>3180</v>
      </c>
      <c r="B154" s="194" t="s">
        <v>144</v>
      </c>
      <c r="C154" s="213">
        <f>ROUND(VLOOKUP(A154,'Contribution Allocation_Report'!$A$9:$D$314,4,FALSE)*$C$315,0)</f>
        <v>3862977</v>
      </c>
      <c r="D154" s="213">
        <f>ROUND(VLOOKUP(A154,'Contribution Allocation_Report'!$A$9:$D$314,4,FALSE)*$D$315,0)</f>
        <v>3063263</v>
      </c>
      <c r="E154" s="213">
        <f>ROUND(VLOOKUP(A154,'Contribution Allocation_Report'!$A$9:$D$314,4,FALSE)*$E$315,0)</f>
        <v>2407705</v>
      </c>
      <c r="F154" s="8"/>
      <c r="J154" s="59">
        <v>3180</v>
      </c>
      <c r="K154" s="282">
        <f t="shared" si="2"/>
        <v>0</v>
      </c>
    </row>
    <row r="155" spans="1:11">
      <c r="A155" s="195">
        <v>25075</v>
      </c>
      <c r="B155" s="196" t="s">
        <v>145</v>
      </c>
      <c r="C155" s="214">
        <f>ROUND(VLOOKUP(A155,'Contribution Allocation_Report'!$A$9:$D$314,4,FALSE)*$C$315,0)</f>
        <v>1690598</v>
      </c>
      <c r="D155" s="214">
        <f>ROUND(VLOOKUP(A155,'Contribution Allocation_Report'!$A$9:$D$314,4,FALSE)*$D$315,0)</f>
        <v>1340610</v>
      </c>
      <c r="E155" s="214">
        <f>ROUND(VLOOKUP(A155,'Contribution Allocation_Report'!$A$9:$D$314,4,FALSE)*$E$315,0)</f>
        <v>1053711</v>
      </c>
      <c r="F155" s="8"/>
      <c r="J155" s="227">
        <v>25075</v>
      </c>
      <c r="K155" s="282">
        <f t="shared" si="2"/>
        <v>0</v>
      </c>
    </row>
    <row r="156" spans="1:11" s="190" customFormat="1">
      <c r="A156" s="193">
        <v>2311</v>
      </c>
      <c r="B156" s="194" t="s">
        <v>422</v>
      </c>
      <c r="C156" s="213">
        <f>ROUND(VLOOKUP(A156,'Contribution Allocation_Report'!$A$9:$D$314,4,FALSE)*$C$315,0)</f>
        <v>696428</v>
      </c>
      <c r="D156" s="213">
        <f>ROUND(VLOOKUP(A156,'Contribution Allocation_Report'!$A$9:$D$314,4,FALSE)*$D$315,0)</f>
        <v>552253</v>
      </c>
      <c r="E156" s="213">
        <f>ROUND(VLOOKUP(A156,'Contribution Allocation_Report'!$A$9:$D$314,4,FALSE)*$E$315,0)</f>
        <v>434068</v>
      </c>
      <c r="F156" s="192"/>
      <c r="J156" s="59">
        <v>2311</v>
      </c>
      <c r="K156" s="282">
        <f t="shared" si="2"/>
        <v>0</v>
      </c>
    </row>
    <row r="157" spans="1:11">
      <c r="A157" s="195">
        <v>9028</v>
      </c>
      <c r="B157" s="210" t="s">
        <v>146</v>
      </c>
      <c r="C157" s="214">
        <f>ROUND(VLOOKUP(A157,'Contribution Allocation_Report'!$A$9:$D$314,4,FALSE)*$C$315,0)</f>
        <v>572846</v>
      </c>
      <c r="D157" s="214">
        <f>ROUND(VLOOKUP(A157,'Contribution Allocation_Report'!$A$9:$D$314,4,FALSE)*$D$315,0)</f>
        <v>454255</v>
      </c>
      <c r="E157" s="214">
        <f>ROUND(VLOOKUP(A157,'Contribution Allocation_Report'!$A$9:$D$314,4,FALSE)*$E$315,0)</f>
        <v>357042</v>
      </c>
      <c r="F157" s="8"/>
      <c r="J157" s="227">
        <v>9028</v>
      </c>
      <c r="K157" s="282">
        <f t="shared" si="2"/>
        <v>0</v>
      </c>
    </row>
    <row r="158" spans="1:11">
      <c r="A158" s="193">
        <v>17424</v>
      </c>
      <c r="B158" s="194" t="s">
        <v>147</v>
      </c>
      <c r="C158" s="213">
        <f>ROUND(VLOOKUP(A158,'Contribution Allocation_Report'!$A$9:$D$314,4,FALSE)*$C$315,0)</f>
        <v>1224917</v>
      </c>
      <c r="D158" s="213">
        <f>ROUND(VLOOKUP(A158,'Contribution Allocation_Report'!$A$9:$D$314,4,FALSE)*$D$315,0)</f>
        <v>971334</v>
      </c>
      <c r="E158" s="213">
        <f>ROUND(VLOOKUP(A158,'Contribution Allocation_Report'!$A$9:$D$314,4,FALSE)*$E$315,0)</f>
        <v>763462</v>
      </c>
      <c r="F158" s="8"/>
      <c r="J158" s="59">
        <v>17424</v>
      </c>
      <c r="K158" s="282">
        <f t="shared" si="2"/>
        <v>0</v>
      </c>
    </row>
    <row r="159" spans="1:11">
      <c r="A159" s="195">
        <v>3200</v>
      </c>
      <c r="B159" s="196" t="s">
        <v>148</v>
      </c>
      <c r="C159" s="214">
        <f>ROUND(VLOOKUP(A159,'Contribution Allocation_Report'!$A$9:$D$314,4,FALSE)*$C$315,0)</f>
        <v>4006157</v>
      </c>
      <c r="D159" s="214">
        <f>ROUND(VLOOKUP(A159,'Contribution Allocation_Report'!$A$9:$D$314,4,FALSE)*$D$315,0)</f>
        <v>3176803</v>
      </c>
      <c r="E159" s="214">
        <f>ROUND(VLOOKUP(A159,'Contribution Allocation_Report'!$A$9:$D$314,4,FALSE)*$E$315,0)</f>
        <v>2496946</v>
      </c>
      <c r="F159" s="8"/>
      <c r="J159" s="227">
        <v>3200</v>
      </c>
      <c r="K159" s="282">
        <f t="shared" si="2"/>
        <v>0</v>
      </c>
    </row>
    <row r="160" spans="1:11">
      <c r="A160" s="193">
        <v>2365</v>
      </c>
      <c r="B160" s="194" t="s">
        <v>149</v>
      </c>
      <c r="C160" s="213">
        <f>ROUND(VLOOKUP(A160,'Contribution Allocation_Report'!$A$9:$D$314,4,FALSE)*$C$315,0)</f>
        <v>476550</v>
      </c>
      <c r="D160" s="213">
        <f>ROUND(VLOOKUP(A160,'Contribution Allocation_Report'!$A$9:$D$314,4,FALSE)*$D$315,0)</f>
        <v>377895</v>
      </c>
      <c r="E160" s="213">
        <f>ROUND(VLOOKUP(A160,'Contribution Allocation_Report'!$A$9:$D$314,4,FALSE)*$E$315,0)</f>
        <v>297023</v>
      </c>
      <c r="F160" s="8"/>
      <c r="J160" s="59">
        <v>2365</v>
      </c>
      <c r="K160" s="282">
        <f t="shared" si="2"/>
        <v>0</v>
      </c>
    </row>
    <row r="161" spans="1:11">
      <c r="A161" s="195">
        <v>5014</v>
      </c>
      <c r="B161" s="196" t="s">
        <v>150</v>
      </c>
      <c r="C161" s="214">
        <f>ROUND(VLOOKUP(A161,'Contribution Allocation_Report'!$A$9:$D$314,4,FALSE)*$C$315,0)</f>
        <v>864597</v>
      </c>
      <c r="D161" s="214">
        <f>ROUND(VLOOKUP(A161,'Contribution Allocation_Report'!$A$9:$D$314,4,FALSE)*$D$315,0)</f>
        <v>685608</v>
      </c>
      <c r="E161" s="214">
        <f>ROUND(VLOOKUP(A161,'Contribution Allocation_Report'!$A$9:$D$314,4,FALSE)*$E$315,0)</f>
        <v>538883</v>
      </c>
      <c r="F161" s="8"/>
      <c r="J161" s="227">
        <v>5014</v>
      </c>
      <c r="K161" s="282">
        <f t="shared" si="2"/>
        <v>0</v>
      </c>
    </row>
    <row r="162" spans="1:11">
      <c r="A162" s="193">
        <v>17127</v>
      </c>
      <c r="B162" s="194" t="s">
        <v>151</v>
      </c>
      <c r="C162" s="213">
        <f>ROUND(VLOOKUP(A162,'Contribution Allocation_Report'!$A$9:$D$314,4,FALSE)*$C$315,0)</f>
        <v>977576</v>
      </c>
      <c r="D162" s="213">
        <f>ROUND(VLOOKUP(A162,'Contribution Allocation_Report'!$A$9:$D$314,4,FALSE)*$D$315,0)</f>
        <v>775198</v>
      </c>
      <c r="E162" s="213">
        <f>ROUND(VLOOKUP(A162,'Contribution Allocation_Report'!$A$9:$D$314,4,FALSE)*$E$315,0)</f>
        <v>609301</v>
      </c>
      <c r="F162" s="8"/>
      <c r="J162" s="59">
        <v>17127</v>
      </c>
      <c r="K162" s="282">
        <f t="shared" si="2"/>
        <v>0</v>
      </c>
    </row>
    <row r="163" spans="1:11">
      <c r="A163" s="195">
        <v>10141</v>
      </c>
      <c r="B163" s="196" t="s">
        <v>152</v>
      </c>
      <c r="C163" s="214">
        <f>ROUND(VLOOKUP(A163,'Contribution Allocation_Report'!$A$9:$D$314,4,FALSE)*$C$315,0)</f>
        <v>1257469</v>
      </c>
      <c r="D163" s="214">
        <f>ROUND(VLOOKUP(A163,'Contribution Allocation_Report'!$A$9:$D$314,4,FALSE)*$D$315,0)</f>
        <v>997148</v>
      </c>
      <c r="E163" s="214">
        <f>ROUND(VLOOKUP(A163,'Contribution Allocation_Report'!$A$9:$D$314,4,FALSE)*$E$315,0)</f>
        <v>783751</v>
      </c>
      <c r="F163" s="8"/>
      <c r="J163" s="227">
        <v>10141</v>
      </c>
      <c r="K163" s="282">
        <f t="shared" si="2"/>
        <v>0</v>
      </c>
    </row>
    <row r="164" spans="1:11">
      <c r="A164" s="193">
        <v>4570</v>
      </c>
      <c r="B164" s="194" t="s">
        <v>400</v>
      </c>
      <c r="C164" s="213">
        <f>ROUND(VLOOKUP(A164,'Contribution Allocation_Report'!$A$9:$D$314,4,FALSE)*$C$315,0)</f>
        <v>3415074</v>
      </c>
      <c r="D164" s="213">
        <f>ROUND(VLOOKUP(A164,'Contribution Allocation_Report'!$A$9:$D$314,4,FALSE)*$D$315,0)</f>
        <v>2708085</v>
      </c>
      <c r="E164" s="213">
        <f>ROUND(VLOOKUP(A164,'Contribution Allocation_Report'!$A$9:$D$314,4,FALSE)*$E$315,0)</f>
        <v>2128537</v>
      </c>
      <c r="F164" s="8"/>
      <c r="J164" s="227">
        <v>4570</v>
      </c>
      <c r="K164" s="282">
        <f t="shared" si="2"/>
        <v>0</v>
      </c>
    </row>
    <row r="165" spans="1:11">
      <c r="A165" s="195">
        <v>13369</v>
      </c>
      <c r="B165" s="196" t="s">
        <v>153</v>
      </c>
      <c r="C165" s="214">
        <f>ROUND(VLOOKUP(A165,'Contribution Allocation_Report'!$A$9:$D$314,4,FALSE)*$C$315,0)</f>
        <v>319143</v>
      </c>
      <c r="D165" s="214">
        <f>ROUND(VLOOKUP(A165,'Contribution Allocation_Report'!$A$9:$D$314,4,FALSE)*$D$315,0)</f>
        <v>253074</v>
      </c>
      <c r="E165" s="214">
        <f>ROUND(VLOOKUP(A165,'Contribution Allocation_Report'!$A$9:$D$314,4,FALSE)*$E$315,0)</f>
        <v>198915</v>
      </c>
      <c r="F165" s="8"/>
      <c r="J165" s="59">
        <v>13369</v>
      </c>
      <c r="K165" s="282">
        <f t="shared" si="2"/>
        <v>0</v>
      </c>
    </row>
    <row r="166" spans="1:11">
      <c r="A166" s="193">
        <v>2425</v>
      </c>
      <c r="B166" s="194" t="s">
        <v>154</v>
      </c>
      <c r="C166" s="213">
        <f>ROUND(VLOOKUP(A166,'Contribution Allocation_Report'!$A$9:$D$314,4,FALSE)*$C$315,0)</f>
        <v>5682918</v>
      </c>
      <c r="D166" s="213">
        <f>ROUND(VLOOKUP(A166,'Contribution Allocation_Report'!$A$9:$D$314,4,FALSE)*$D$315,0)</f>
        <v>4506440</v>
      </c>
      <c r="E166" s="213">
        <f>ROUND(VLOOKUP(A166,'Contribution Allocation_Report'!$A$9:$D$314,4,FALSE)*$E$315,0)</f>
        <v>3542032</v>
      </c>
      <c r="F166" s="8"/>
      <c r="J166" s="59">
        <v>2425</v>
      </c>
      <c r="K166" s="282">
        <f t="shared" si="2"/>
        <v>0</v>
      </c>
    </row>
    <row r="167" spans="1:11">
      <c r="A167" s="195">
        <v>1306</v>
      </c>
      <c r="B167" s="196" t="s">
        <v>155</v>
      </c>
      <c r="C167" s="214">
        <f>ROUND(VLOOKUP(A167,'Contribution Allocation_Report'!$A$9:$D$314,4,FALSE)*$C$315,0)</f>
        <v>962272</v>
      </c>
      <c r="D167" s="214">
        <f>ROUND(VLOOKUP(A167,'Contribution Allocation_Report'!$A$9:$D$314,4,FALSE)*$D$315,0)</f>
        <v>763062</v>
      </c>
      <c r="E167" s="214">
        <f>ROUND(VLOOKUP(A167,'Contribution Allocation_Report'!$A$9:$D$314,4,FALSE)*$E$315,0)</f>
        <v>599762</v>
      </c>
      <c r="F167" s="8"/>
      <c r="J167" s="227">
        <v>1306</v>
      </c>
      <c r="K167" s="282">
        <f t="shared" si="2"/>
        <v>0</v>
      </c>
    </row>
    <row r="168" spans="1:11">
      <c r="A168" s="193">
        <v>2351</v>
      </c>
      <c r="B168" s="194" t="s">
        <v>156</v>
      </c>
      <c r="C168" s="213">
        <f>ROUND(VLOOKUP(A168,'Contribution Allocation_Report'!$A$9:$D$314,4,FALSE)*$C$315,0)</f>
        <v>1057366</v>
      </c>
      <c r="D168" s="213">
        <f>ROUND(VLOOKUP(A168,'Contribution Allocation_Report'!$A$9:$D$314,4,FALSE)*$D$315,0)</f>
        <v>838470</v>
      </c>
      <c r="E168" s="213">
        <f>ROUND(VLOOKUP(A168,'Contribution Allocation_Report'!$A$9:$D$314,4,FALSE)*$E$315,0)</f>
        <v>659032</v>
      </c>
      <c r="F168" s="8"/>
      <c r="J168" s="59">
        <v>2351</v>
      </c>
      <c r="K168" s="282">
        <f t="shared" si="2"/>
        <v>0</v>
      </c>
    </row>
    <row r="169" spans="1:11">
      <c r="A169" s="195">
        <v>2334</v>
      </c>
      <c r="B169" s="196" t="s">
        <v>157</v>
      </c>
      <c r="C169" s="214">
        <f>ROUND(VLOOKUP(A169,'Contribution Allocation_Report'!$A$9:$D$314,4,FALSE)*$C$315,0)</f>
        <v>738117</v>
      </c>
      <c r="D169" s="214">
        <f>ROUND(VLOOKUP(A169,'Contribution Allocation_Report'!$A$9:$D$314,4,FALSE)*$D$315,0)</f>
        <v>585312</v>
      </c>
      <c r="E169" s="214">
        <f>ROUND(VLOOKUP(A169,'Contribution Allocation_Report'!$A$9:$D$314,4,FALSE)*$E$315,0)</f>
        <v>460051</v>
      </c>
      <c r="F169" s="8"/>
      <c r="J169" s="227">
        <v>2334</v>
      </c>
      <c r="K169" s="282">
        <f t="shared" si="2"/>
        <v>0</v>
      </c>
    </row>
    <row r="170" spans="1:11">
      <c r="A170" s="193">
        <v>30089</v>
      </c>
      <c r="B170" s="194" t="s">
        <v>158</v>
      </c>
      <c r="C170" s="213">
        <f>ROUND(VLOOKUP(A170,'Contribution Allocation_Report'!$A$9:$D$314,4,FALSE)*$C$315,0)</f>
        <v>1850903</v>
      </c>
      <c r="D170" s="213">
        <f>ROUND(VLOOKUP(A170,'Contribution Allocation_Report'!$A$9:$D$314,4,FALSE)*$D$315,0)</f>
        <v>1467729</v>
      </c>
      <c r="E170" s="213">
        <f>ROUND(VLOOKUP(A170,'Contribution Allocation_Report'!$A$9:$D$314,4,FALSE)*$E$315,0)</f>
        <v>1153625</v>
      </c>
      <c r="F170" s="8"/>
      <c r="J170" s="59">
        <v>30089</v>
      </c>
      <c r="K170" s="282">
        <f t="shared" si="2"/>
        <v>0</v>
      </c>
    </row>
    <row r="171" spans="1:11">
      <c r="A171" s="195">
        <v>9324</v>
      </c>
      <c r="B171" s="196" t="s">
        <v>159</v>
      </c>
      <c r="C171" s="214">
        <f>ROUND(VLOOKUP(A171,'Contribution Allocation_Report'!$A$9:$D$314,4,FALSE)*$C$315,0)</f>
        <v>223094</v>
      </c>
      <c r="D171" s="214">
        <f>ROUND(VLOOKUP(A171,'Contribution Allocation_Report'!$A$9:$D$314,4,FALSE)*$D$315,0)</f>
        <v>176909</v>
      </c>
      <c r="E171" s="214">
        <f>ROUND(VLOOKUP(A171,'Contribution Allocation_Report'!$A$9:$D$314,4,FALSE)*$E$315,0)</f>
        <v>139050</v>
      </c>
      <c r="F171" s="8"/>
      <c r="J171" s="227">
        <v>9324</v>
      </c>
      <c r="K171" s="282">
        <f t="shared" si="2"/>
        <v>0</v>
      </c>
    </row>
    <row r="172" spans="1:11">
      <c r="A172" s="193">
        <v>22066</v>
      </c>
      <c r="B172" s="194" t="s">
        <v>160</v>
      </c>
      <c r="C172" s="213">
        <f>ROUND(VLOOKUP(A172,'Contribution Allocation_Report'!$A$9:$D$314,4,FALSE)*$C$315,0)</f>
        <v>7880038</v>
      </c>
      <c r="D172" s="213">
        <f>ROUND(VLOOKUP(A172,'Contribution Allocation_Report'!$A$9:$D$314,4,FALSE)*$D$315,0)</f>
        <v>6248713</v>
      </c>
      <c r="E172" s="213">
        <f>ROUND(VLOOKUP(A172,'Contribution Allocation_Report'!$A$9:$D$314,4,FALSE)*$E$315,0)</f>
        <v>4911446</v>
      </c>
      <c r="F172" s="8"/>
      <c r="J172" s="59">
        <v>22066</v>
      </c>
      <c r="K172" s="282">
        <f t="shared" si="2"/>
        <v>0</v>
      </c>
    </row>
    <row r="173" spans="1:11">
      <c r="A173" s="195">
        <v>16356</v>
      </c>
      <c r="B173" s="196" t="s">
        <v>161</v>
      </c>
      <c r="C173" s="214">
        <f>ROUND(VLOOKUP(A173,'Contribution Allocation_Report'!$A$9:$D$314,4,FALSE)*$C$315,0)</f>
        <v>488037</v>
      </c>
      <c r="D173" s="214">
        <f>ROUND(VLOOKUP(A173,'Contribution Allocation_Report'!$A$9:$D$314,4,FALSE)*$D$315,0)</f>
        <v>387003</v>
      </c>
      <c r="E173" s="214">
        <f>ROUND(VLOOKUP(A173,'Contribution Allocation_Report'!$A$9:$D$314,4,FALSE)*$E$315,0)</f>
        <v>304182</v>
      </c>
      <c r="F173" s="8"/>
      <c r="J173" s="227">
        <v>16356</v>
      </c>
      <c r="K173" s="282">
        <f t="shared" si="2"/>
        <v>0</v>
      </c>
    </row>
    <row r="174" spans="1:11">
      <c r="A174" s="193">
        <v>31091</v>
      </c>
      <c r="B174" s="194" t="s">
        <v>162</v>
      </c>
      <c r="C174" s="213">
        <f>ROUND(VLOOKUP(A174,'Contribution Allocation_Report'!$A$9:$D$314,4,FALSE)*$C$315,0)</f>
        <v>459903</v>
      </c>
      <c r="D174" s="213">
        <f>ROUND(VLOOKUP(A174,'Contribution Allocation_Report'!$A$9:$D$314,4,FALSE)*$D$315,0)</f>
        <v>364694</v>
      </c>
      <c r="E174" s="213">
        <f>ROUND(VLOOKUP(A174,'Contribution Allocation_Report'!$A$9:$D$314,4,FALSE)*$E$315,0)</f>
        <v>286647</v>
      </c>
      <c r="F174" s="8"/>
      <c r="J174" s="59">
        <v>31091</v>
      </c>
      <c r="K174" s="282">
        <f t="shared" si="2"/>
        <v>0</v>
      </c>
    </row>
    <row r="175" spans="1:11">
      <c r="A175" s="195">
        <v>2342</v>
      </c>
      <c r="B175" s="196" t="s">
        <v>163</v>
      </c>
      <c r="C175" s="214">
        <f>ROUND(VLOOKUP(A175,'Contribution Allocation_Report'!$A$9:$D$314,4,FALSE)*$C$315,0)</f>
        <v>744178</v>
      </c>
      <c r="D175" s="214">
        <f>ROUND(VLOOKUP(A175,'Contribution Allocation_Report'!$A$9:$D$314,4,FALSE)*$D$315,0)</f>
        <v>590119</v>
      </c>
      <c r="E175" s="214">
        <f>ROUND(VLOOKUP(A175,'Contribution Allocation_Report'!$A$9:$D$314,4,FALSE)*$E$315,0)</f>
        <v>463829</v>
      </c>
      <c r="F175" s="8"/>
      <c r="J175" s="227">
        <v>2342</v>
      </c>
      <c r="K175" s="282">
        <f t="shared" si="2"/>
        <v>0</v>
      </c>
    </row>
    <row r="176" spans="1:11">
      <c r="A176" s="193">
        <v>22067</v>
      </c>
      <c r="B176" s="194" t="s">
        <v>164</v>
      </c>
      <c r="C176" s="213">
        <f>ROUND(VLOOKUP(A176,'Contribution Allocation_Report'!$A$9:$D$314,4,FALSE)*$C$315,0)</f>
        <v>1066803</v>
      </c>
      <c r="D176" s="213">
        <f>ROUND(VLOOKUP(A176,'Contribution Allocation_Report'!$A$9:$D$314,4,FALSE)*$D$315,0)</f>
        <v>845953</v>
      </c>
      <c r="E176" s="213">
        <f>ROUND(VLOOKUP(A176,'Contribution Allocation_Report'!$A$9:$D$314,4,FALSE)*$E$315,0)</f>
        <v>664914</v>
      </c>
      <c r="F176" s="8"/>
      <c r="J176" s="59">
        <v>22067</v>
      </c>
      <c r="K176" s="282">
        <f t="shared" si="2"/>
        <v>0</v>
      </c>
    </row>
    <row r="177" spans="1:11">
      <c r="A177" s="195">
        <v>32112</v>
      </c>
      <c r="B177" s="196" t="s">
        <v>165</v>
      </c>
      <c r="C177" s="214">
        <f>ROUND(VLOOKUP(A177,'Contribution Allocation_Report'!$A$9:$D$314,4,FALSE)*$C$315,0)</f>
        <v>412329</v>
      </c>
      <c r="D177" s="214">
        <f>ROUND(VLOOKUP(A177,'Contribution Allocation_Report'!$A$9:$D$314,4,FALSE)*$D$315,0)</f>
        <v>326969</v>
      </c>
      <c r="E177" s="214">
        <f>ROUND(VLOOKUP(A177,'Contribution Allocation_Report'!$A$9:$D$314,4,FALSE)*$E$315,0)</f>
        <v>256995</v>
      </c>
      <c r="F177" s="8"/>
      <c r="J177" s="227">
        <v>32112</v>
      </c>
      <c r="K177" s="282">
        <f t="shared" si="2"/>
        <v>0</v>
      </c>
    </row>
    <row r="178" spans="1:11">
      <c r="A178" s="193">
        <v>2354</v>
      </c>
      <c r="B178" s="194" t="s">
        <v>166</v>
      </c>
      <c r="C178" s="213">
        <f>ROUND(VLOOKUP(A178,'Contribution Allocation_Report'!$A$9:$D$314,4,FALSE)*$C$315,0)</f>
        <v>1661456</v>
      </c>
      <c r="D178" s="213">
        <f>ROUND(VLOOKUP(A178,'Contribution Allocation_Report'!$A$9:$D$314,4,FALSE)*$D$315,0)</f>
        <v>1317502</v>
      </c>
      <c r="E178" s="213">
        <f>ROUND(VLOOKUP(A178,'Contribution Allocation_Report'!$A$9:$D$314,4,FALSE)*$E$315,0)</f>
        <v>1035548</v>
      </c>
      <c r="F178" s="8"/>
      <c r="J178" s="59">
        <v>2354</v>
      </c>
      <c r="K178" s="282">
        <f t="shared" si="2"/>
        <v>0</v>
      </c>
    </row>
    <row r="179" spans="1:11">
      <c r="A179" s="195">
        <v>2148</v>
      </c>
      <c r="B179" s="196" t="s">
        <v>167</v>
      </c>
      <c r="C179" s="214">
        <f>ROUND(VLOOKUP(A179,'Contribution Allocation_Report'!$A$9:$D$314,4,FALSE)*$C$315,0)</f>
        <v>487224</v>
      </c>
      <c r="D179" s="214">
        <f>ROUND(VLOOKUP(A179,'Contribution Allocation_Report'!$A$9:$D$314,4,FALSE)*$D$315,0)</f>
        <v>386359</v>
      </c>
      <c r="E179" s="214">
        <f>ROUND(VLOOKUP(A179,'Contribution Allocation_Report'!$A$9:$D$314,4,FALSE)*$E$315,0)</f>
        <v>303675</v>
      </c>
      <c r="F179" s="8"/>
      <c r="J179" s="227">
        <v>2148</v>
      </c>
      <c r="K179" s="282">
        <f t="shared" si="2"/>
        <v>0</v>
      </c>
    </row>
    <row r="180" spans="1:11">
      <c r="A180" s="193">
        <v>1418</v>
      </c>
      <c r="B180" s="194" t="s">
        <v>168</v>
      </c>
      <c r="C180" s="213">
        <f>ROUND(VLOOKUP(A180,'Contribution Allocation_Report'!$A$9:$D$314,4,FALSE)*$C$315,0)</f>
        <v>2231846</v>
      </c>
      <c r="D180" s="213">
        <f>ROUND(VLOOKUP(A180,'Contribution Allocation_Report'!$A$9:$D$314,4,FALSE)*$D$315,0)</f>
        <v>1769809</v>
      </c>
      <c r="E180" s="213">
        <f>ROUND(VLOOKUP(A180,'Contribution Allocation_Report'!$A$9:$D$314,4,FALSE)*$E$315,0)</f>
        <v>1391058</v>
      </c>
      <c r="F180" s="8"/>
      <c r="J180" s="59">
        <v>1418</v>
      </c>
      <c r="K180" s="282">
        <f t="shared" si="2"/>
        <v>0</v>
      </c>
    </row>
    <row r="181" spans="1:11">
      <c r="A181" s="195">
        <v>12102</v>
      </c>
      <c r="B181" s="196" t="s">
        <v>169</v>
      </c>
      <c r="C181" s="214">
        <f>ROUND(VLOOKUP(A181,'Contribution Allocation_Report'!$A$9:$D$314,4,FALSE)*$C$315,0)</f>
        <v>11154600</v>
      </c>
      <c r="D181" s="214">
        <f>ROUND(VLOOKUP(A181,'Contribution Allocation_Report'!$A$9:$D$314,4,FALSE)*$D$315,0)</f>
        <v>8845375</v>
      </c>
      <c r="E181" s="214">
        <f>ROUND(VLOOKUP(A181,'Contribution Allocation_Report'!$A$9:$D$314,4,FALSE)*$E$315,0)</f>
        <v>6952405</v>
      </c>
      <c r="F181" s="8"/>
      <c r="J181" s="227">
        <v>12102</v>
      </c>
      <c r="K181" s="282">
        <f t="shared" si="2"/>
        <v>0</v>
      </c>
    </row>
    <row r="182" spans="1:11">
      <c r="A182" s="193">
        <v>2414</v>
      </c>
      <c r="B182" s="194" t="s">
        <v>170</v>
      </c>
      <c r="C182" s="213">
        <f>ROUND(VLOOKUP(A182,'Contribution Allocation_Report'!$A$9:$D$314,4,FALSE)*$C$315,0)</f>
        <v>1127454</v>
      </c>
      <c r="D182" s="213">
        <f>ROUND(VLOOKUP(A182,'Contribution Allocation_Report'!$A$9:$D$314,4,FALSE)*$D$315,0)</f>
        <v>894049</v>
      </c>
      <c r="E182" s="213">
        <f>ROUND(VLOOKUP(A182,'Contribution Allocation_Report'!$A$9:$D$314,4,FALSE)*$E$315,0)</f>
        <v>702716</v>
      </c>
      <c r="F182" s="8"/>
      <c r="J182" s="59">
        <v>2414</v>
      </c>
      <c r="K182" s="282">
        <f t="shared" si="2"/>
        <v>0</v>
      </c>
    </row>
    <row r="183" spans="1:11">
      <c r="A183" s="195">
        <v>6124</v>
      </c>
      <c r="B183" s="196" t="s">
        <v>171</v>
      </c>
      <c r="C183" s="214">
        <f>ROUND(VLOOKUP(A183,'Contribution Allocation_Report'!$A$9:$D$314,4,FALSE)*$C$315,0)</f>
        <v>6671751</v>
      </c>
      <c r="D183" s="214">
        <f>ROUND(VLOOKUP(A183,'Contribution Allocation_Report'!$A$9:$D$314,4,FALSE)*$D$315,0)</f>
        <v>5290565</v>
      </c>
      <c r="E183" s="214">
        <f>ROUND(VLOOKUP(A183,'Contribution Allocation_Report'!$A$9:$D$314,4,FALSE)*$E$315,0)</f>
        <v>4158349</v>
      </c>
      <c r="F183" s="8"/>
      <c r="J183" s="227">
        <v>6124</v>
      </c>
      <c r="K183" s="282">
        <f t="shared" si="2"/>
        <v>0</v>
      </c>
    </row>
    <row r="184" spans="1:11">
      <c r="A184" s="193">
        <v>4097</v>
      </c>
      <c r="B184" s="194" t="s">
        <v>172</v>
      </c>
      <c r="C184" s="213">
        <f>ROUND(VLOOKUP(A184,'Contribution Allocation_Report'!$A$9:$D$314,4,FALSE)*$C$315,0)</f>
        <v>6425294</v>
      </c>
      <c r="D184" s="213">
        <f>ROUND(VLOOKUP(A184,'Contribution Allocation_Report'!$A$9:$D$314,4,FALSE)*$D$315,0)</f>
        <v>5095130</v>
      </c>
      <c r="E184" s="213">
        <f>ROUND(VLOOKUP(A184,'Contribution Allocation_Report'!$A$9:$D$314,4,FALSE)*$E$315,0)</f>
        <v>4004738</v>
      </c>
      <c r="F184" s="8"/>
      <c r="J184" s="59">
        <v>4097</v>
      </c>
      <c r="K184" s="282">
        <f t="shared" si="2"/>
        <v>0</v>
      </c>
    </row>
    <row r="185" spans="1:11">
      <c r="A185" s="195">
        <v>1416</v>
      </c>
      <c r="B185" s="196" t="s">
        <v>173</v>
      </c>
      <c r="C185" s="214">
        <f>ROUND(VLOOKUP(A185,'Contribution Allocation_Report'!$A$9:$D$314,4,FALSE)*$C$315,0)</f>
        <v>968863</v>
      </c>
      <c r="D185" s="214">
        <f>ROUND(VLOOKUP(A185,'Contribution Allocation_Report'!$A$9:$D$314,4,FALSE)*$D$315,0)</f>
        <v>768289</v>
      </c>
      <c r="E185" s="214">
        <f>ROUND(VLOOKUP(A185,'Contribution Allocation_Report'!$A$9:$D$314,4,FALSE)*$E$315,0)</f>
        <v>603870</v>
      </c>
      <c r="F185" s="8"/>
      <c r="J185" s="227">
        <v>1416</v>
      </c>
      <c r="K185" s="282">
        <f t="shared" si="2"/>
        <v>0</v>
      </c>
    </row>
    <row r="186" spans="1:11">
      <c r="A186" s="193">
        <v>1094</v>
      </c>
      <c r="B186" s="194" t="s">
        <v>174</v>
      </c>
      <c r="C186" s="213">
        <f>ROUND(VLOOKUP(A186,'Contribution Allocation_Report'!$A$9:$D$314,4,FALSE)*$C$315,0)</f>
        <v>4285556</v>
      </c>
      <c r="D186" s="213">
        <f>ROUND(VLOOKUP(A186,'Contribution Allocation_Report'!$A$9:$D$314,4,FALSE)*$D$315,0)</f>
        <v>3398360</v>
      </c>
      <c r="E186" s="213">
        <f>ROUND(VLOOKUP(A186,'Contribution Allocation_Report'!$A$9:$D$314,4,FALSE)*$E$315,0)</f>
        <v>2671088</v>
      </c>
      <c r="F186" s="8"/>
      <c r="J186" s="59">
        <v>1094</v>
      </c>
      <c r="K186" s="282">
        <f t="shared" si="2"/>
        <v>0</v>
      </c>
    </row>
    <row r="187" spans="1:11">
      <c r="A187" s="195">
        <v>32111</v>
      </c>
      <c r="B187" s="196" t="s">
        <v>175</v>
      </c>
      <c r="C187" s="214">
        <f>ROUND(VLOOKUP(A187,'Contribution Allocation_Report'!$A$9:$D$314,4,FALSE)*$C$315,0)</f>
        <v>4459398</v>
      </c>
      <c r="D187" s="214">
        <f>ROUND(VLOOKUP(A187,'Contribution Allocation_Report'!$A$9:$D$314,4,FALSE)*$D$315,0)</f>
        <v>3536213</v>
      </c>
      <c r="E187" s="214">
        <f>ROUND(VLOOKUP(A187,'Contribution Allocation_Report'!$A$9:$D$314,4,FALSE)*$E$315,0)</f>
        <v>2779440</v>
      </c>
      <c r="F187" s="8"/>
      <c r="J187" s="227">
        <v>32111</v>
      </c>
      <c r="K187" s="282">
        <f t="shared" si="2"/>
        <v>0</v>
      </c>
    </row>
    <row r="188" spans="1:11">
      <c r="A188" s="193">
        <v>2520</v>
      </c>
      <c r="B188" s="194" t="s">
        <v>176</v>
      </c>
      <c r="C188" s="213">
        <f>ROUND(VLOOKUP(A188,'Contribution Allocation_Report'!$A$9:$D$314,4,FALSE)*$C$315,0)</f>
        <v>793643</v>
      </c>
      <c r="D188" s="213">
        <f>ROUND(VLOOKUP(A188,'Contribution Allocation_Report'!$A$9:$D$314,4,FALSE)*$D$315,0)</f>
        <v>629343</v>
      </c>
      <c r="E188" s="213">
        <f>ROUND(VLOOKUP(A188,'Contribution Allocation_Report'!$A$9:$D$314,4,FALSE)*$E$315,0)</f>
        <v>494659</v>
      </c>
      <c r="F188" s="8"/>
      <c r="J188" s="59">
        <v>2520</v>
      </c>
      <c r="K188" s="282">
        <f t="shared" si="2"/>
        <v>0</v>
      </c>
    </row>
    <row r="189" spans="1:11">
      <c r="A189" s="195">
        <v>3450</v>
      </c>
      <c r="B189" s="196" t="s">
        <v>177</v>
      </c>
      <c r="C189" s="214">
        <f>ROUND(VLOOKUP(A189,'Contribution Allocation_Report'!$A$9:$D$314,4,FALSE)*$C$315,0)</f>
        <v>1389092</v>
      </c>
      <c r="D189" s="214">
        <f>ROUND(VLOOKUP(A189,'Contribution Allocation_Report'!$A$9:$D$314,4,FALSE)*$D$315,0)</f>
        <v>1101522</v>
      </c>
      <c r="E189" s="214">
        <f>ROUND(VLOOKUP(A189,'Contribution Allocation_Report'!$A$9:$D$314,4,FALSE)*$E$315,0)</f>
        <v>865789</v>
      </c>
      <c r="F189" s="8"/>
      <c r="J189" s="227">
        <v>3450</v>
      </c>
      <c r="K189" s="282">
        <f t="shared" si="2"/>
        <v>0</v>
      </c>
    </row>
    <row r="190" spans="1:11">
      <c r="A190" s="193">
        <v>4310</v>
      </c>
      <c r="B190" s="194" t="s">
        <v>178</v>
      </c>
      <c r="C190" s="213">
        <f>ROUND(VLOOKUP(A190,'Contribution Allocation_Report'!$A$9:$D$314,4,FALSE)*$C$315,0)</f>
        <v>662639</v>
      </c>
      <c r="D190" s="213">
        <f>ROUND(VLOOKUP(A190,'Contribution Allocation_Report'!$A$9:$D$314,4,FALSE)*$D$315,0)</f>
        <v>525459</v>
      </c>
      <c r="E190" s="213">
        <f>ROUND(VLOOKUP(A190,'Contribution Allocation_Report'!$A$9:$D$314,4,FALSE)*$E$315,0)</f>
        <v>413007</v>
      </c>
      <c r="F190" s="8"/>
      <c r="J190" s="59">
        <v>4310</v>
      </c>
      <c r="K190" s="282">
        <f t="shared" si="2"/>
        <v>0</v>
      </c>
    </row>
    <row r="191" spans="1:11">
      <c r="A191" s="195">
        <v>2328</v>
      </c>
      <c r="B191" s="196" t="s">
        <v>179</v>
      </c>
      <c r="C191" s="214">
        <f>ROUND(VLOOKUP(A191,'Contribution Allocation_Report'!$A$9:$D$314,4,FALSE)*$C$315,0)</f>
        <v>971885</v>
      </c>
      <c r="D191" s="214">
        <f>ROUND(VLOOKUP(A191,'Contribution Allocation_Report'!$A$9:$D$314,4,FALSE)*$D$315,0)</f>
        <v>770686</v>
      </c>
      <c r="E191" s="214">
        <f>ROUND(VLOOKUP(A191,'Contribution Allocation_Report'!$A$9:$D$314,4,FALSE)*$E$315,0)</f>
        <v>605754</v>
      </c>
      <c r="F191" s="8"/>
      <c r="J191" s="227">
        <v>2328</v>
      </c>
      <c r="K191" s="282">
        <f t="shared" si="2"/>
        <v>0</v>
      </c>
    </row>
    <row r="192" spans="1:11">
      <c r="A192" s="193">
        <v>12151</v>
      </c>
      <c r="B192" s="194" t="s">
        <v>180</v>
      </c>
      <c r="C192" s="213">
        <f>ROUND(VLOOKUP(A192,'Contribution Allocation_Report'!$A$9:$D$314,4,FALSE)*$C$315,0)</f>
        <v>455078</v>
      </c>
      <c r="D192" s="213">
        <f>ROUND(VLOOKUP(A192,'Contribution Allocation_Report'!$A$9:$D$314,4,FALSE)*$D$315,0)</f>
        <v>360868</v>
      </c>
      <c r="E192" s="213">
        <f>ROUND(VLOOKUP(A192,'Contribution Allocation_Report'!$A$9:$D$314,4,FALSE)*$E$315,0)</f>
        <v>283640</v>
      </c>
      <c r="F192" s="8"/>
      <c r="J192" s="59">
        <v>12151</v>
      </c>
      <c r="K192" s="282">
        <f t="shared" si="2"/>
        <v>0</v>
      </c>
    </row>
    <row r="193" spans="1:11">
      <c r="A193" s="195">
        <v>32110</v>
      </c>
      <c r="B193" s="196" t="s">
        <v>181</v>
      </c>
      <c r="C193" s="214">
        <f>ROUND(VLOOKUP(A193,'Contribution Allocation_Report'!$A$9:$D$314,4,FALSE)*$C$315,0)</f>
        <v>4596110</v>
      </c>
      <c r="D193" s="214">
        <f>ROUND(VLOOKUP(A193,'Contribution Allocation_Report'!$A$9:$D$314,4,FALSE)*$D$315,0)</f>
        <v>3644623</v>
      </c>
      <c r="E193" s="214">
        <f>ROUND(VLOOKUP(A193,'Contribution Allocation_Report'!$A$9:$D$314,4,FALSE)*$E$315,0)</f>
        <v>2864650</v>
      </c>
      <c r="F193" s="8"/>
      <c r="J193" s="227">
        <v>32110</v>
      </c>
      <c r="K193" s="282">
        <f t="shared" si="2"/>
        <v>0</v>
      </c>
    </row>
    <row r="194" spans="1:11" s="190" customFormat="1">
      <c r="A194" s="193">
        <v>4215</v>
      </c>
      <c r="B194" s="194" t="s">
        <v>468</v>
      </c>
      <c r="C194" s="213">
        <f>ROUND(VLOOKUP(A194,'Contribution Allocation_Report'!$A$9:$D$314,4,FALSE)*$C$315,0)</f>
        <v>631023</v>
      </c>
      <c r="D194" s="213">
        <f>ROUND(VLOOKUP(A194,'Contribution Allocation_Report'!$A$9:$D$314,4,FALSE)*$D$315,0)</f>
        <v>500389</v>
      </c>
      <c r="E194" s="213">
        <f>ROUND(VLOOKUP(A194,'Contribution Allocation_Report'!$A$9:$D$314,4,FALSE)*$E$315,0)</f>
        <v>393302</v>
      </c>
      <c r="F194" s="192"/>
      <c r="J194" s="227"/>
      <c r="K194" s="282"/>
    </row>
    <row r="195" spans="1:11">
      <c r="A195" s="195">
        <v>2870</v>
      </c>
      <c r="B195" s="196" t="s">
        <v>183</v>
      </c>
      <c r="C195" s="214">
        <f>ROUND(VLOOKUP(A195,'Contribution Allocation_Report'!$A$9:$D$314,4,FALSE)*$C$315,0)</f>
        <v>734547</v>
      </c>
      <c r="D195" s="214">
        <f>ROUND(VLOOKUP(A195,'Contribution Allocation_Report'!$A$9:$D$314,4,FALSE)*$D$315,0)</f>
        <v>582481</v>
      </c>
      <c r="E195" s="214">
        <f>ROUND(VLOOKUP(A195,'Contribution Allocation_Report'!$A$9:$D$314,4,FALSE)*$E$315,0)</f>
        <v>457826</v>
      </c>
      <c r="F195" s="8"/>
      <c r="J195" s="59">
        <v>2870</v>
      </c>
      <c r="K195" s="282">
        <f t="shared" si="2"/>
        <v>0</v>
      </c>
    </row>
    <row r="196" spans="1:11">
      <c r="A196" s="193">
        <v>29150</v>
      </c>
      <c r="B196" s="194" t="s">
        <v>184</v>
      </c>
      <c r="C196" s="213">
        <f>ROUND(VLOOKUP(A196,'Contribution Allocation_Report'!$A$9:$D$314,4,FALSE)*$C$315,0)</f>
        <v>143145</v>
      </c>
      <c r="D196" s="213">
        <f>ROUND(VLOOKUP(A196,'Contribution Allocation_Report'!$A$9:$D$314,4,FALSE)*$D$315,0)</f>
        <v>113511</v>
      </c>
      <c r="E196" s="213">
        <f>ROUND(VLOOKUP(A196,'Contribution Allocation_Report'!$A$9:$D$314,4,FALSE)*$E$315,0)</f>
        <v>89219</v>
      </c>
      <c r="F196" s="8"/>
      <c r="J196" s="227">
        <v>29150</v>
      </c>
      <c r="K196" s="282">
        <f t="shared" si="2"/>
        <v>0</v>
      </c>
    </row>
    <row r="197" spans="1:11">
      <c r="A197" s="195">
        <v>32118</v>
      </c>
      <c r="B197" s="196" t="s">
        <v>186</v>
      </c>
      <c r="C197" s="214">
        <f>ROUND(VLOOKUP(A197,'Contribution Allocation_Report'!$A$9:$D$314,4,FALSE)*$C$315,0)</f>
        <v>2907315</v>
      </c>
      <c r="D197" s="214">
        <f>ROUND(VLOOKUP(A197,'Contribution Allocation_Report'!$A$9:$D$314,4,FALSE)*$D$315,0)</f>
        <v>2305442</v>
      </c>
      <c r="E197" s="214">
        <f>ROUND(VLOOKUP(A197,'Contribution Allocation_Report'!$A$9:$D$314,4,FALSE)*$E$315,0)</f>
        <v>1812062</v>
      </c>
      <c r="F197" s="8"/>
      <c r="J197" s="59">
        <v>32118</v>
      </c>
      <c r="K197" s="282">
        <f t="shared" si="2"/>
        <v>0</v>
      </c>
    </row>
    <row r="198" spans="1:11">
      <c r="A198" s="193">
        <v>12039</v>
      </c>
      <c r="B198" s="194" t="s">
        <v>187</v>
      </c>
      <c r="C198" s="213">
        <f>ROUND(VLOOKUP(A198,'Contribution Allocation_Report'!$A$9:$D$314,4,FALSE)*$C$315,0)</f>
        <v>1807058</v>
      </c>
      <c r="D198" s="213">
        <f>ROUND(VLOOKUP(A198,'Contribution Allocation_Report'!$A$9:$D$314,4,FALSE)*$D$315,0)</f>
        <v>1432961</v>
      </c>
      <c r="E198" s="213">
        <f>ROUND(VLOOKUP(A198,'Contribution Allocation_Report'!$A$9:$D$314,4,FALSE)*$E$315,0)</f>
        <v>1126298</v>
      </c>
      <c r="F198" s="8"/>
      <c r="J198" s="227">
        <v>12039</v>
      </c>
      <c r="K198" s="282">
        <f t="shared" si="2"/>
        <v>0</v>
      </c>
    </row>
    <row r="199" spans="1:11">
      <c r="A199" s="195">
        <v>12150</v>
      </c>
      <c r="B199" s="196" t="s">
        <v>188</v>
      </c>
      <c r="C199" s="214">
        <f>ROUND(VLOOKUP(A199,'Contribution Allocation_Report'!$A$9:$D$314,4,FALSE)*$C$315,0)</f>
        <v>327113</v>
      </c>
      <c r="D199" s="214">
        <f>ROUND(VLOOKUP(A199,'Contribution Allocation_Report'!$A$9:$D$314,4,FALSE)*$D$315,0)</f>
        <v>259394</v>
      </c>
      <c r="E199" s="214">
        <f>ROUND(VLOOKUP(A199,'Contribution Allocation_Report'!$A$9:$D$314,4,FALSE)*$E$315,0)</f>
        <v>203882</v>
      </c>
      <c r="F199" s="8"/>
      <c r="J199" s="59">
        <v>12150</v>
      </c>
      <c r="K199" s="282">
        <f t="shared" si="2"/>
        <v>0</v>
      </c>
    </row>
    <row r="200" spans="1:11">
      <c r="A200" s="193">
        <v>20060</v>
      </c>
      <c r="B200" s="194" t="s">
        <v>189</v>
      </c>
      <c r="C200" s="213">
        <f>ROUND(VLOOKUP(A200,'Contribution Allocation_Report'!$A$9:$D$314,4,FALSE)*$C$315,0)</f>
        <v>1343815</v>
      </c>
      <c r="D200" s="213">
        <f>ROUND(VLOOKUP(A200,'Contribution Allocation_Report'!$A$9:$D$314,4,FALSE)*$D$315,0)</f>
        <v>1065619</v>
      </c>
      <c r="E200" s="213">
        <f>ROUND(VLOOKUP(A200,'Contribution Allocation_Report'!$A$9:$D$314,4,FALSE)*$E$315,0)</f>
        <v>837569</v>
      </c>
      <c r="F200" s="8"/>
      <c r="J200" s="227">
        <v>20060</v>
      </c>
      <c r="K200" s="282">
        <f t="shared" si="2"/>
        <v>0</v>
      </c>
    </row>
    <row r="201" spans="1:11">
      <c r="A201" s="195">
        <v>1001</v>
      </c>
      <c r="B201" s="196" t="s">
        <v>190</v>
      </c>
      <c r="C201" s="214">
        <f>ROUND(VLOOKUP(A201,'Contribution Allocation_Report'!$A$9:$D$314,4,FALSE)*$C$315,0)</f>
        <v>5132498</v>
      </c>
      <c r="D201" s="214">
        <f>ROUND(VLOOKUP(A201,'Contribution Allocation_Report'!$A$9:$D$314,4,FALSE)*$D$315,0)</f>
        <v>4069968</v>
      </c>
      <c r="E201" s="214">
        <f>ROUND(VLOOKUP(A201,'Contribution Allocation_Report'!$A$9:$D$314,4,FALSE)*$E$315,0)</f>
        <v>3198968</v>
      </c>
      <c r="F201" s="8"/>
      <c r="J201" s="59">
        <v>1001</v>
      </c>
      <c r="K201" s="282">
        <f t="shared" si="2"/>
        <v>0</v>
      </c>
    </row>
    <row r="202" spans="1:11">
      <c r="A202" s="193">
        <v>11035</v>
      </c>
      <c r="B202" s="194" t="s">
        <v>191</v>
      </c>
      <c r="C202" s="213">
        <f>ROUND(VLOOKUP(A202,'Contribution Allocation_Report'!$A$9:$D$314,4,FALSE)*$C$315,0)</f>
        <v>9102445</v>
      </c>
      <c r="D202" s="213">
        <f>ROUND(VLOOKUP(A202,'Contribution Allocation_Report'!$A$9:$D$314,4,FALSE)*$D$315,0)</f>
        <v>7218057</v>
      </c>
      <c r="E202" s="213">
        <f>ROUND(VLOOKUP(A202,'Contribution Allocation_Report'!$A$9:$D$314,4,FALSE)*$E$315,0)</f>
        <v>5673345</v>
      </c>
      <c r="F202" s="8"/>
      <c r="J202" s="227">
        <v>11035</v>
      </c>
      <c r="K202" s="282">
        <f t="shared" si="2"/>
        <v>0</v>
      </c>
    </row>
    <row r="203" spans="1:11">
      <c r="A203" s="195">
        <v>2320</v>
      </c>
      <c r="B203" s="196" t="s">
        <v>192</v>
      </c>
      <c r="C203" s="214">
        <f>ROUND(VLOOKUP(A203,'Contribution Allocation_Report'!$A$9:$D$314,4,FALSE)*$C$315,0)</f>
        <v>1069949</v>
      </c>
      <c r="D203" s="214">
        <f>ROUND(VLOOKUP(A203,'Contribution Allocation_Report'!$A$9:$D$314,4,FALSE)*$D$315,0)</f>
        <v>848448</v>
      </c>
      <c r="E203" s="214">
        <f>ROUND(VLOOKUP(A203,'Contribution Allocation_Report'!$A$9:$D$314,4,FALSE)*$E$315,0)</f>
        <v>666874</v>
      </c>
      <c r="F203" s="8"/>
      <c r="J203" s="59">
        <v>2320</v>
      </c>
      <c r="K203" s="282">
        <f t="shared" si="2"/>
        <v>0</v>
      </c>
    </row>
    <row r="204" spans="1:11">
      <c r="A204" s="193">
        <v>28084</v>
      </c>
      <c r="B204" s="194" t="s">
        <v>193</v>
      </c>
      <c r="C204" s="213">
        <f>ROUND(VLOOKUP(A204,'Contribution Allocation_Report'!$A$9:$D$314,4,FALSE)*$C$315,0)</f>
        <v>899500</v>
      </c>
      <c r="D204" s="213">
        <f>ROUND(VLOOKUP(A204,'Contribution Allocation_Report'!$A$9:$D$314,4,FALSE)*$D$315,0)</f>
        <v>713285</v>
      </c>
      <c r="E204" s="213">
        <f>ROUND(VLOOKUP(A204,'Contribution Allocation_Report'!$A$9:$D$314,4,FALSE)*$E$315,0)</f>
        <v>560638</v>
      </c>
      <c r="F204" s="8"/>
      <c r="J204" s="227">
        <v>28084</v>
      </c>
      <c r="K204" s="282">
        <f t="shared" ref="K204:K270" si="3">+A204-J204</f>
        <v>0</v>
      </c>
    </row>
    <row r="205" spans="1:11">
      <c r="A205" s="195">
        <v>20125</v>
      </c>
      <c r="B205" s="196" t="s">
        <v>194</v>
      </c>
      <c r="C205" s="214">
        <f>ROUND(VLOOKUP(A205,'Contribution Allocation_Report'!$A$9:$D$314,4,FALSE)*$C$315,0)</f>
        <v>1364474</v>
      </c>
      <c r="D205" s="214">
        <f>ROUND(VLOOKUP(A205,'Contribution Allocation_Report'!$A$9:$D$314,4,FALSE)*$D$315,0)</f>
        <v>1082001</v>
      </c>
      <c r="E205" s="214">
        <f>ROUND(VLOOKUP(A205,'Contribution Allocation_Report'!$A$9:$D$314,4,FALSE)*$E$315,0)</f>
        <v>850445</v>
      </c>
      <c r="F205" s="8"/>
      <c r="J205" s="59">
        <v>20125</v>
      </c>
      <c r="K205" s="282">
        <f t="shared" si="3"/>
        <v>0</v>
      </c>
    </row>
    <row r="206" spans="1:11" s="190" customFormat="1">
      <c r="A206" s="193">
        <v>7445</v>
      </c>
      <c r="B206" s="194" t="s">
        <v>411</v>
      </c>
      <c r="C206" s="213">
        <f>ROUND(VLOOKUP(A206,'Contribution Allocation_Report'!$A$9:$D$314,4,FALSE)*$C$315,0)</f>
        <v>539534</v>
      </c>
      <c r="D206" s="213">
        <f>ROUND(VLOOKUP(A206,'Contribution Allocation_Report'!$A$9:$D$314,4,FALSE)*$D$315,0)</f>
        <v>427839</v>
      </c>
      <c r="E206" s="213">
        <f>ROUND(VLOOKUP(A206,'Contribution Allocation_Report'!$A$9:$D$314,4,FALSE)*$E$315,0)</f>
        <v>336279</v>
      </c>
      <c r="F206" s="192"/>
      <c r="J206" s="227">
        <v>7445</v>
      </c>
      <c r="K206" s="282">
        <f t="shared" si="3"/>
        <v>0</v>
      </c>
    </row>
    <row r="207" spans="1:11">
      <c r="A207" s="195">
        <v>9029</v>
      </c>
      <c r="B207" s="196" t="s">
        <v>196</v>
      </c>
      <c r="C207" s="214">
        <f>ROUND(VLOOKUP(A207,'Contribution Allocation_Report'!$A$9:$D$314,4,FALSE)*$C$315,0)</f>
        <v>2668492</v>
      </c>
      <c r="D207" s="214">
        <f>ROUND(VLOOKUP(A207,'Contribution Allocation_Report'!$A$9:$D$314,4,FALSE)*$D$315,0)</f>
        <v>2116061</v>
      </c>
      <c r="E207" s="214">
        <f>ROUND(VLOOKUP(A207,'Contribution Allocation_Report'!$A$9:$D$314,4,FALSE)*$E$315,0)</f>
        <v>1663210</v>
      </c>
      <c r="F207" s="8"/>
      <c r="J207" s="59">
        <v>9029</v>
      </c>
      <c r="K207" s="282">
        <f t="shared" si="3"/>
        <v>0</v>
      </c>
    </row>
    <row r="208" spans="1:11">
      <c r="A208" s="193">
        <v>2580</v>
      </c>
      <c r="B208" s="194" t="s">
        <v>197</v>
      </c>
      <c r="C208" s="213">
        <f>ROUND(VLOOKUP(A208,'Contribution Allocation_Report'!$A$9:$D$314,4,FALSE)*$C$315,0)</f>
        <v>320981</v>
      </c>
      <c r="D208" s="213">
        <f>ROUND(VLOOKUP(A208,'Contribution Allocation_Report'!$A$9:$D$314,4,FALSE)*$D$315,0)</f>
        <v>254532</v>
      </c>
      <c r="E208" s="213">
        <f>ROUND(VLOOKUP(A208,'Contribution Allocation_Report'!$A$9:$D$314,4,FALSE)*$E$315,0)</f>
        <v>200060</v>
      </c>
      <c r="F208" s="8"/>
      <c r="J208" s="227">
        <v>2580</v>
      </c>
      <c r="K208" s="282">
        <f t="shared" si="3"/>
        <v>0</v>
      </c>
    </row>
    <row r="209" spans="1:11">
      <c r="A209" s="195">
        <v>20312</v>
      </c>
      <c r="B209" s="196" t="s">
        <v>198</v>
      </c>
      <c r="C209" s="214">
        <f>ROUND(VLOOKUP(A209,'Contribution Allocation_Report'!$A$9:$D$314,4,FALSE)*$C$315,0)</f>
        <v>261973</v>
      </c>
      <c r="D209" s="214">
        <f>ROUND(VLOOKUP(A209,'Contribution Allocation_Report'!$A$9:$D$314,4,FALSE)*$D$315,0)</f>
        <v>207740</v>
      </c>
      <c r="E209" s="214">
        <f>ROUND(VLOOKUP(A209,'Contribution Allocation_Report'!$A$9:$D$314,4,FALSE)*$E$315,0)</f>
        <v>163282</v>
      </c>
      <c r="F209" s="8"/>
      <c r="J209" s="59">
        <v>20312</v>
      </c>
      <c r="K209" s="282">
        <f t="shared" si="3"/>
        <v>0</v>
      </c>
    </row>
    <row r="210" spans="1:11">
      <c r="A210" s="193">
        <v>26150</v>
      </c>
      <c r="B210" s="194" t="s">
        <v>199</v>
      </c>
      <c r="C210" s="213">
        <f>ROUND(VLOOKUP(A210,'Contribution Allocation_Report'!$A$9:$D$314,4,FALSE)*$C$315,0)</f>
        <v>1941668</v>
      </c>
      <c r="D210" s="213">
        <f>ROUND(VLOOKUP(A210,'Contribution Allocation_Report'!$A$9:$D$314,4,FALSE)*$D$315,0)</f>
        <v>1539704</v>
      </c>
      <c r="E210" s="213">
        <f>ROUND(VLOOKUP(A210,'Contribution Allocation_Report'!$A$9:$D$314,4,FALSE)*$E$315,0)</f>
        <v>1210197</v>
      </c>
      <c r="F210" s="8"/>
      <c r="J210" s="227">
        <v>26150</v>
      </c>
      <c r="K210" s="282">
        <f t="shared" si="3"/>
        <v>0</v>
      </c>
    </row>
    <row r="211" spans="1:11">
      <c r="A211" s="195">
        <v>5016</v>
      </c>
      <c r="B211" s="196" t="s">
        <v>200</v>
      </c>
      <c r="C211" s="214">
        <f>ROUND(VLOOKUP(A211,'Contribution Allocation_Report'!$A$9:$D$314,4,FALSE)*$C$315,0)</f>
        <v>282243</v>
      </c>
      <c r="D211" s="214">
        <f>ROUND(VLOOKUP(A211,'Contribution Allocation_Report'!$A$9:$D$314,4,FALSE)*$D$315,0)</f>
        <v>223813</v>
      </c>
      <c r="E211" s="214">
        <f>ROUND(VLOOKUP(A211,'Contribution Allocation_Report'!$A$9:$D$314,4,FALSE)*$E$315,0)</f>
        <v>175916</v>
      </c>
      <c r="F211" s="8"/>
      <c r="J211" s="59">
        <v>5016</v>
      </c>
      <c r="K211" s="282">
        <f t="shared" si="3"/>
        <v>0</v>
      </c>
    </row>
    <row r="212" spans="1:11">
      <c r="A212" s="193">
        <v>6150</v>
      </c>
      <c r="B212" s="194" t="s">
        <v>201</v>
      </c>
      <c r="C212" s="213">
        <f>ROUND(VLOOKUP(A212,'Contribution Allocation_Report'!$A$9:$D$314,4,FALSE)*$C$315,0)</f>
        <v>222812</v>
      </c>
      <c r="D212" s="213">
        <f>ROUND(VLOOKUP(A212,'Contribution Allocation_Report'!$A$9:$D$314,4,FALSE)*$D$315,0)</f>
        <v>176685</v>
      </c>
      <c r="E212" s="213">
        <f>ROUND(VLOOKUP(A212,'Contribution Allocation_Report'!$A$9:$D$314,4,FALSE)*$E$315,0)</f>
        <v>138873</v>
      </c>
      <c r="F212" s="8"/>
      <c r="J212" s="227">
        <v>6150</v>
      </c>
      <c r="K212" s="282">
        <f t="shared" si="3"/>
        <v>0</v>
      </c>
    </row>
    <row r="213" spans="1:11">
      <c r="A213" s="195">
        <v>4480</v>
      </c>
      <c r="B213" s="196" t="s">
        <v>202</v>
      </c>
      <c r="C213" s="214">
        <f>ROUND(VLOOKUP(A213,'Contribution Allocation_Report'!$A$9:$D$314,4,FALSE)*$C$315,0)</f>
        <v>375040</v>
      </c>
      <c r="D213" s="214">
        <f>ROUND(VLOOKUP(A213,'Contribution Allocation_Report'!$A$9:$D$314,4,FALSE)*$D$315,0)</f>
        <v>297400</v>
      </c>
      <c r="E213" s="214">
        <f>ROUND(VLOOKUP(A213,'Contribution Allocation_Report'!$A$9:$D$314,4,FALSE)*$E$315,0)</f>
        <v>233754</v>
      </c>
      <c r="F213" s="8"/>
      <c r="J213" s="59">
        <v>4480</v>
      </c>
      <c r="K213" s="282">
        <f t="shared" si="3"/>
        <v>0</v>
      </c>
    </row>
    <row r="214" spans="1:11">
      <c r="A214" s="193">
        <v>28085</v>
      </c>
      <c r="B214" s="194" t="s">
        <v>203</v>
      </c>
      <c r="C214" s="213">
        <f>ROUND(VLOOKUP(A214,'Contribution Allocation_Report'!$A$9:$D$314,4,FALSE)*$C$315,0)</f>
        <v>701412</v>
      </c>
      <c r="D214" s="213">
        <f>ROUND(VLOOKUP(A214,'Contribution Allocation_Report'!$A$9:$D$314,4,FALSE)*$D$315,0)</f>
        <v>556205</v>
      </c>
      <c r="E214" s="213">
        <f>ROUND(VLOOKUP(A214,'Contribution Allocation_Report'!$A$9:$D$314,4,FALSE)*$E$315,0)</f>
        <v>437174</v>
      </c>
      <c r="F214" s="8"/>
      <c r="J214" s="227">
        <v>28085</v>
      </c>
      <c r="K214" s="282">
        <f t="shared" si="3"/>
        <v>0</v>
      </c>
    </row>
    <row r="215" spans="1:11">
      <c r="A215" s="195">
        <v>3240</v>
      </c>
      <c r="B215" s="196" t="s">
        <v>204</v>
      </c>
      <c r="C215" s="214">
        <f>ROUND(VLOOKUP(A215,'Contribution Allocation_Report'!$A$9:$D$314,4,FALSE)*$C$315,0)</f>
        <v>4074743</v>
      </c>
      <c r="D215" s="214">
        <f>ROUND(VLOOKUP(A215,'Contribution Allocation_Report'!$A$9:$D$314,4,FALSE)*$D$315,0)</f>
        <v>3231190</v>
      </c>
      <c r="E215" s="214">
        <f>ROUND(VLOOKUP(A215,'Contribution Allocation_Report'!$A$9:$D$314,4,FALSE)*$E$315,0)</f>
        <v>2539694</v>
      </c>
      <c r="F215" s="8"/>
      <c r="J215" s="59">
        <v>3240</v>
      </c>
      <c r="K215" s="282">
        <f t="shared" si="3"/>
        <v>0</v>
      </c>
    </row>
    <row r="216" spans="1:11">
      <c r="A216" s="193">
        <v>12326</v>
      </c>
      <c r="B216" s="194" t="s">
        <v>205</v>
      </c>
      <c r="C216" s="213">
        <f>ROUND(VLOOKUP(A216,'Contribution Allocation_Report'!$A$9:$D$314,4,FALSE)*$C$315,0)</f>
        <v>366275</v>
      </c>
      <c r="D216" s="213">
        <f>ROUND(VLOOKUP(A216,'Contribution Allocation_Report'!$A$9:$D$314,4,FALSE)*$D$315,0)</f>
        <v>290449</v>
      </c>
      <c r="E216" s="213">
        <f>ROUND(VLOOKUP(A216,'Contribution Allocation_Report'!$A$9:$D$314,4,FALSE)*$E$315,0)</f>
        <v>228291</v>
      </c>
      <c r="F216" s="8"/>
      <c r="J216" s="227">
        <v>12326</v>
      </c>
      <c r="K216" s="282">
        <f t="shared" si="3"/>
        <v>0</v>
      </c>
    </row>
    <row r="217" spans="1:11" s="190" customFormat="1">
      <c r="A217" s="195">
        <v>2445</v>
      </c>
      <c r="B217" s="196" t="s">
        <v>446</v>
      </c>
      <c r="C217" s="214">
        <f>ROUND(VLOOKUP(A217,'Contribution Allocation_Report'!$A$9:$D$314,4,FALSE)*$C$315,0)</f>
        <v>340845</v>
      </c>
      <c r="D217" s="214">
        <f>ROUND(VLOOKUP(A217,'Contribution Allocation_Report'!$A$9:$D$314,4,FALSE)*$D$315,0)</f>
        <v>270283</v>
      </c>
      <c r="E217" s="214">
        <f>ROUND(VLOOKUP(A217,'Contribution Allocation_Report'!$A$9:$D$314,4,FALSE)*$E$315,0)</f>
        <v>212441</v>
      </c>
      <c r="F217" s="192"/>
      <c r="J217" s="59">
        <v>2445</v>
      </c>
      <c r="K217" s="282">
        <f t="shared" si="3"/>
        <v>0</v>
      </c>
    </row>
    <row r="218" spans="1:11">
      <c r="A218" s="193">
        <v>29123</v>
      </c>
      <c r="B218" s="194" t="s">
        <v>206</v>
      </c>
      <c r="C218" s="213">
        <f>ROUND(VLOOKUP(A218,'Contribution Allocation_Report'!$A$9:$D$314,4,FALSE)*$C$315,0)</f>
        <v>51321800</v>
      </c>
      <c r="D218" s="213">
        <f>ROUND(VLOOKUP(A218,'Contribution Allocation_Report'!$A$9:$D$314,4,FALSE)*$D$315,0)</f>
        <v>40697162</v>
      </c>
      <c r="E218" s="213">
        <f>ROUND(VLOOKUP(A218,'Contribution Allocation_Report'!$A$9:$D$314,4,FALSE)*$E$315,0)</f>
        <v>31987698</v>
      </c>
      <c r="F218" s="8"/>
      <c r="J218" s="227">
        <v>29123</v>
      </c>
      <c r="K218" s="282">
        <f t="shared" si="3"/>
        <v>0</v>
      </c>
    </row>
    <row r="219" spans="1:11">
      <c r="A219" s="195">
        <v>2318</v>
      </c>
      <c r="B219" s="223" t="s">
        <v>207</v>
      </c>
      <c r="C219" s="238">
        <f>ROUND(VLOOKUP(A219,'Contribution Allocation_Report'!$A$9:$D$314,4,FALSE)*$C$315,0)</f>
        <v>1085765</v>
      </c>
      <c r="D219" s="238">
        <f>ROUND(VLOOKUP(A219,'Contribution Allocation_Report'!$A$9:$D$314,4,FALSE)*$D$315,0)</f>
        <v>860990</v>
      </c>
      <c r="E219" s="238">
        <f>ROUND(VLOOKUP(A219,'Contribution Allocation_Report'!$A$9:$D$314,4,FALSE)*$E$315,0)</f>
        <v>676733</v>
      </c>
      <c r="F219" s="8"/>
      <c r="J219" s="59">
        <v>2318</v>
      </c>
      <c r="K219" s="282">
        <f t="shared" si="3"/>
        <v>0</v>
      </c>
    </row>
    <row r="220" spans="1:11">
      <c r="A220" s="193">
        <v>3250</v>
      </c>
      <c r="B220" s="194" t="s">
        <v>208</v>
      </c>
      <c r="C220" s="213">
        <f>ROUND(VLOOKUP(A220,'Contribution Allocation_Report'!$A$9:$D$314,4,FALSE)*$C$315,0)</f>
        <v>1426380</v>
      </c>
      <c r="D220" s="213">
        <f>ROUND(VLOOKUP(A220,'Contribution Allocation_Report'!$A$9:$D$314,4,FALSE)*$D$315,0)</f>
        <v>1131091</v>
      </c>
      <c r="E220" s="213">
        <f>ROUND(VLOOKUP(A220,'Contribution Allocation_Report'!$A$9:$D$314,4,FALSE)*$E$315,0)</f>
        <v>889030</v>
      </c>
      <c r="F220" s="8"/>
      <c r="J220" s="227">
        <v>3250</v>
      </c>
      <c r="K220" s="282">
        <f t="shared" si="3"/>
        <v>0</v>
      </c>
    </row>
    <row r="221" spans="1:11">
      <c r="A221" s="195">
        <v>2313</v>
      </c>
      <c r="B221" s="196" t="s">
        <v>209</v>
      </c>
      <c r="C221" s="214">
        <f>ROUND(VLOOKUP(A221,'Contribution Allocation_Report'!$A$9:$D$314,4,FALSE)*$C$315,0)</f>
        <v>205652</v>
      </c>
      <c r="D221" s="214">
        <f>ROUND(VLOOKUP(A221,'Contribution Allocation_Report'!$A$9:$D$314,4,FALSE)*$D$315,0)</f>
        <v>163078</v>
      </c>
      <c r="E221" s="214">
        <f>ROUND(VLOOKUP(A221,'Contribution Allocation_Report'!$A$9:$D$314,4,FALSE)*$E$315,0)</f>
        <v>128178</v>
      </c>
      <c r="F221" s="8"/>
      <c r="J221" s="59">
        <v>2313</v>
      </c>
      <c r="K221" s="282">
        <f t="shared" si="3"/>
        <v>0</v>
      </c>
    </row>
    <row r="222" spans="1:11">
      <c r="A222" s="193">
        <v>4011</v>
      </c>
      <c r="B222" s="194" t="s">
        <v>210</v>
      </c>
      <c r="C222" s="213">
        <f>ROUND(VLOOKUP(A222,'Contribution Allocation_Report'!$A$9:$D$314,4,FALSE)*$C$315,0)</f>
        <v>29331249</v>
      </c>
      <c r="D222" s="213">
        <f>ROUND(VLOOKUP(A222,'Contribution Allocation_Report'!$A$9:$D$314,4,FALSE)*$D$315,0)</f>
        <v>23259095</v>
      </c>
      <c r="E222" s="213">
        <f>ROUND(VLOOKUP(A222,'Contribution Allocation_Report'!$A$9:$D$314,4,FALSE)*$E$315,0)</f>
        <v>18281493</v>
      </c>
      <c r="F222" s="8"/>
      <c r="J222" s="227">
        <v>4011</v>
      </c>
      <c r="K222" s="282">
        <f t="shared" si="3"/>
        <v>0</v>
      </c>
    </row>
    <row r="223" spans="1:11">
      <c r="A223" s="195">
        <v>31092</v>
      </c>
      <c r="B223" s="196" t="s">
        <v>211</v>
      </c>
      <c r="C223" s="214">
        <f>ROUND(VLOOKUP(A223,'Contribution Allocation_Report'!$A$9:$D$314,4,FALSE)*$C$315,0)</f>
        <v>455396</v>
      </c>
      <c r="D223" s="214">
        <f>ROUND(VLOOKUP(A223,'Contribution Allocation_Report'!$A$9:$D$314,4,FALSE)*$D$315,0)</f>
        <v>361120</v>
      </c>
      <c r="E223" s="214">
        <f>ROUND(VLOOKUP(A223,'Contribution Allocation_Report'!$A$9:$D$314,4,FALSE)*$E$315,0)</f>
        <v>283838</v>
      </c>
      <c r="F223" s="8"/>
      <c r="J223" s="59">
        <v>31092</v>
      </c>
      <c r="K223" s="282">
        <f t="shared" si="3"/>
        <v>0</v>
      </c>
    </row>
    <row r="224" spans="1:11">
      <c r="A224" s="193">
        <v>26081</v>
      </c>
      <c r="B224" s="194" t="s">
        <v>212</v>
      </c>
      <c r="C224" s="213">
        <f>ROUND(VLOOKUP(A224,'Contribution Allocation_Report'!$A$9:$D$314,4,FALSE)*$C$315,0)</f>
        <v>5381182</v>
      </c>
      <c r="D224" s="213">
        <f>ROUND(VLOOKUP(A224,'Contribution Allocation_Report'!$A$9:$D$314,4,FALSE)*$D$315,0)</f>
        <v>4267170</v>
      </c>
      <c r="E224" s="213">
        <f>ROUND(VLOOKUP(A224,'Contribution Allocation_Report'!$A$9:$D$314,4,FALSE)*$E$315,0)</f>
        <v>3353967</v>
      </c>
      <c r="F224" s="8"/>
      <c r="J224" s="227">
        <v>26081</v>
      </c>
      <c r="K224" s="282">
        <f t="shared" si="3"/>
        <v>0</v>
      </c>
    </row>
    <row r="225" spans="1:11">
      <c r="A225" s="195">
        <v>29305</v>
      </c>
      <c r="B225" s="196" t="s">
        <v>213</v>
      </c>
      <c r="C225" s="214">
        <f>ROUND(VLOOKUP(A225,'Contribution Allocation_Report'!$A$9:$D$314,4,FALSE)*$C$315,0)</f>
        <v>357386</v>
      </c>
      <c r="D225" s="214">
        <f>ROUND(VLOOKUP(A225,'Contribution Allocation_Report'!$A$9:$D$314,4,FALSE)*$D$315,0)</f>
        <v>283400</v>
      </c>
      <c r="E225" s="214">
        <f>ROUND(VLOOKUP(A225,'Contribution Allocation_Report'!$A$9:$D$314,4,FALSE)*$E$315,0)</f>
        <v>222750</v>
      </c>
      <c r="F225" s="8"/>
      <c r="J225" s="59">
        <v>29305</v>
      </c>
      <c r="K225" s="282">
        <f t="shared" si="3"/>
        <v>0</v>
      </c>
    </row>
    <row r="226" spans="1:11">
      <c r="A226" s="193">
        <v>10032</v>
      </c>
      <c r="B226" s="194" t="s">
        <v>214</v>
      </c>
      <c r="C226" s="213">
        <f>ROUND(VLOOKUP(A226,'Contribution Allocation_Report'!$A$9:$D$314,4,FALSE)*$C$315,0)</f>
        <v>665449</v>
      </c>
      <c r="D226" s="213">
        <f>ROUND(VLOOKUP(A226,'Contribution Allocation_Report'!$A$9:$D$314,4,FALSE)*$D$315,0)</f>
        <v>527687</v>
      </c>
      <c r="E226" s="213">
        <f>ROUND(VLOOKUP(A226,'Contribution Allocation_Report'!$A$9:$D$314,4,FALSE)*$E$315,0)</f>
        <v>414759</v>
      </c>
      <c r="F226" s="8"/>
      <c r="J226" s="227">
        <v>10032</v>
      </c>
      <c r="K226" s="282">
        <f t="shared" si="3"/>
        <v>0</v>
      </c>
    </row>
    <row r="227" spans="1:11">
      <c r="A227" s="195">
        <v>32107</v>
      </c>
      <c r="B227" s="210" t="s">
        <v>215</v>
      </c>
      <c r="C227" s="214">
        <f>ROUND(VLOOKUP(A227,'Contribution Allocation_Report'!$A$9:$D$314,4,FALSE)*$C$315,0)</f>
        <v>842259</v>
      </c>
      <c r="D227" s="214">
        <f>ROUND(VLOOKUP(A227,'Contribution Allocation_Report'!$A$9:$D$314,4,FALSE)*$D$315,0)</f>
        <v>667895</v>
      </c>
      <c r="E227" s="214">
        <f>ROUND(VLOOKUP(A227,'Contribution Allocation_Report'!$A$9:$D$314,4,FALSE)*$E$315,0)</f>
        <v>524961</v>
      </c>
      <c r="F227" s="8"/>
      <c r="J227" s="59">
        <v>32107</v>
      </c>
      <c r="K227" s="282">
        <f t="shared" si="3"/>
        <v>0</v>
      </c>
    </row>
    <row r="228" spans="1:11">
      <c r="A228" s="193">
        <v>3260</v>
      </c>
      <c r="B228" s="194" t="s">
        <v>216</v>
      </c>
      <c r="C228" s="213">
        <f>ROUND(VLOOKUP(A228,'Contribution Allocation_Report'!$A$9:$D$314,4,FALSE)*$C$315,0)</f>
        <v>11798559</v>
      </c>
      <c r="D228" s="213">
        <f>ROUND(VLOOKUP(A228,'Contribution Allocation_Report'!$A$9:$D$314,4,FALSE)*$D$315,0)</f>
        <v>9356021</v>
      </c>
      <c r="E228" s="213">
        <f>ROUND(VLOOKUP(A228,'Contribution Allocation_Report'!$A$9:$D$314,4,FALSE)*$E$315,0)</f>
        <v>7353770</v>
      </c>
      <c r="F228" s="8"/>
      <c r="J228" s="227">
        <v>3260</v>
      </c>
      <c r="K228" s="282">
        <f t="shared" si="3"/>
        <v>0</v>
      </c>
    </row>
    <row r="229" spans="1:11">
      <c r="A229" s="195">
        <v>4390</v>
      </c>
      <c r="B229" s="196" t="s">
        <v>217</v>
      </c>
      <c r="C229" s="214">
        <f>ROUND(VLOOKUP(A229,'Contribution Allocation_Report'!$A$9:$D$314,4,FALSE)*$C$315,0)</f>
        <v>128035</v>
      </c>
      <c r="D229" s="214">
        <f>ROUND(VLOOKUP(A229,'Contribution Allocation_Report'!$A$9:$D$314,4,FALSE)*$D$315,0)</f>
        <v>101530</v>
      </c>
      <c r="E229" s="214">
        <f>ROUND(VLOOKUP(A229,'Contribution Allocation_Report'!$A$9:$D$314,4,FALSE)*$E$315,0)</f>
        <v>79802</v>
      </c>
      <c r="F229" s="8"/>
      <c r="J229" s="59">
        <v>4390</v>
      </c>
      <c r="K229" s="282">
        <f t="shared" si="3"/>
        <v>0</v>
      </c>
    </row>
    <row r="230" spans="1:11">
      <c r="A230" s="193">
        <v>3270</v>
      </c>
      <c r="B230" s="194" t="s">
        <v>218</v>
      </c>
      <c r="C230" s="213">
        <f>ROUND(VLOOKUP(A230,'Contribution Allocation_Report'!$A$9:$D$314,4,FALSE)*$C$315,0)</f>
        <v>1794316</v>
      </c>
      <c r="D230" s="213">
        <f>ROUND(VLOOKUP(A230,'Contribution Allocation_Report'!$A$9:$D$314,4,FALSE)*$D$315,0)</f>
        <v>1422857</v>
      </c>
      <c r="E230" s="213">
        <f>ROUND(VLOOKUP(A230,'Contribution Allocation_Report'!$A$9:$D$314,4,FALSE)*$E$315,0)</f>
        <v>1118356</v>
      </c>
      <c r="F230" s="8"/>
      <c r="J230" s="227">
        <v>3270</v>
      </c>
      <c r="K230" s="282">
        <f t="shared" si="3"/>
        <v>0</v>
      </c>
    </row>
    <row r="231" spans="1:11">
      <c r="A231" s="195">
        <v>29303</v>
      </c>
      <c r="B231" s="196" t="s">
        <v>219</v>
      </c>
      <c r="C231" s="214">
        <f>ROUND(VLOOKUP(A231,'Contribution Allocation_Report'!$A$9:$D$314,4,FALSE)*$C$315,0)</f>
        <v>641202</v>
      </c>
      <c r="D231" s="214">
        <f>ROUND(VLOOKUP(A231,'Contribution Allocation_Report'!$A$9:$D$314,4,FALSE)*$D$315,0)</f>
        <v>508461</v>
      </c>
      <c r="E231" s="214">
        <f>ROUND(VLOOKUP(A231,'Contribution Allocation_Report'!$A$9:$D$314,4,FALSE)*$E$315,0)</f>
        <v>399647</v>
      </c>
      <c r="F231" s="8"/>
      <c r="J231" s="59">
        <v>29303</v>
      </c>
      <c r="K231" s="282">
        <f t="shared" si="3"/>
        <v>0</v>
      </c>
    </row>
    <row r="232" spans="1:11">
      <c r="A232" s="193">
        <v>3280</v>
      </c>
      <c r="B232" s="194" t="s">
        <v>220</v>
      </c>
      <c r="C232" s="213">
        <f>ROUND(VLOOKUP(A232,'Contribution Allocation_Report'!$A$9:$D$314,4,FALSE)*$C$315,0)</f>
        <v>9036634</v>
      </c>
      <c r="D232" s="213">
        <f>ROUND(VLOOKUP(A232,'Contribution Allocation_Report'!$A$9:$D$314,4,FALSE)*$D$315,0)</f>
        <v>7165870</v>
      </c>
      <c r="E232" s="213">
        <f>ROUND(VLOOKUP(A232,'Contribution Allocation_Report'!$A$9:$D$314,4,FALSE)*$E$315,0)</f>
        <v>5632326</v>
      </c>
      <c r="F232" s="8"/>
      <c r="J232" s="227">
        <v>3280</v>
      </c>
      <c r="K232" s="282">
        <f t="shared" si="3"/>
        <v>0</v>
      </c>
    </row>
    <row r="233" spans="1:11">
      <c r="A233" s="195">
        <v>4260</v>
      </c>
      <c r="B233" s="196" t="s">
        <v>221</v>
      </c>
      <c r="C233" s="214">
        <f>ROUND(VLOOKUP(A233,'Contribution Allocation_Report'!$A$9:$D$314,4,FALSE)*$C$315,0)</f>
        <v>701394</v>
      </c>
      <c r="D233" s="214">
        <f>ROUND(VLOOKUP(A233,'Contribution Allocation_Report'!$A$9:$D$314,4,FALSE)*$D$315,0)</f>
        <v>556191</v>
      </c>
      <c r="E233" s="214">
        <f>ROUND(VLOOKUP(A233,'Contribution Allocation_Report'!$A$9:$D$314,4,FALSE)*$E$315,0)</f>
        <v>437163</v>
      </c>
      <c r="F233" s="8"/>
      <c r="J233" s="59">
        <v>4260</v>
      </c>
      <c r="K233" s="282">
        <f t="shared" si="3"/>
        <v>0</v>
      </c>
    </row>
    <row r="234" spans="1:11">
      <c r="A234" s="193">
        <v>1003</v>
      </c>
      <c r="B234" s="194" t="s">
        <v>222</v>
      </c>
      <c r="C234" s="213">
        <f>ROUND(VLOOKUP(A234,'Contribution Allocation_Report'!$A$9:$D$314,4,FALSE)*$C$315,0)</f>
        <v>10041760</v>
      </c>
      <c r="D234" s="213">
        <f>ROUND(VLOOKUP(A234,'Contribution Allocation_Report'!$A$9:$D$314,4,FALSE)*$D$315,0)</f>
        <v>7962915</v>
      </c>
      <c r="E234" s="213">
        <f>ROUND(VLOOKUP(A234,'Contribution Allocation_Report'!$A$9:$D$314,4,FALSE)*$E$315,0)</f>
        <v>6258798</v>
      </c>
      <c r="F234" s="8"/>
      <c r="J234" s="227">
        <v>1003</v>
      </c>
      <c r="K234" s="282">
        <f t="shared" si="3"/>
        <v>0</v>
      </c>
    </row>
    <row r="235" spans="1:11">
      <c r="A235" s="195">
        <v>3290</v>
      </c>
      <c r="B235" s="196" t="s">
        <v>223</v>
      </c>
      <c r="C235" s="214">
        <f>ROUND(VLOOKUP(A235,'Contribution Allocation_Report'!$A$9:$D$314,4,FALSE)*$C$315,0)</f>
        <v>20455239</v>
      </c>
      <c r="D235" s="214">
        <f>ROUND(VLOOKUP(A235,'Contribution Allocation_Report'!$A$9:$D$314,4,FALSE)*$D$315,0)</f>
        <v>16220596</v>
      </c>
      <c r="E235" s="214">
        <f>ROUND(VLOOKUP(A235,'Contribution Allocation_Report'!$A$9:$D$314,4,FALSE)*$E$315,0)</f>
        <v>12749280</v>
      </c>
      <c r="F235" s="8"/>
      <c r="J235" s="59">
        <v>3290</v>
      </c>
      <c r="K235" s="282">
        <f t="shared" si="3"/>
        <v>0</v>
      </c>
    </row>
    <row r="236" spans="1:11">
      <c r="A236" s="193">
        <v>1002</v>
      </c>
      <c r="B236" s="194" t="s">
        <v>224</v>
      </c>
      <c r="C236" s="213">
        <f>ROUND(VLOOKUP(A236,'Contribution Allocation_Report'!$A$9:$D$314,4,FALSE)*$C$315,0)</f>
        <v>36348669</v>
      </c>
      <c r="D236" s="213">
        <f>ROUND(VLOOKUP(A236,'Contribution Allocation_Report'!$A$9:$D$314,4,FALSE)*$D$315,0)</f>
        <v>28823769</v>
      </c>
      <c r="E236" s="213">
        <f>ROUND(VLOOKUP(A236,'Contribution Allocation_Report'!$A$9:$D$314,4,FALSE)*$E$315,0)</f>
        <v>22655290</v>
      </c>
      <c r="F236" s="8"/>
      <c r="J236" s="227">
        <v>1002</v>
      </c>
      <c r="K236" s="282">
        <f t="shared" si="3"/>
        <v>0</v>
      </c>
    </row>
    <row r="237" spans="1:11" s="190" customFormat="1">
      <c r="A237" s="195">
        <v>4270</v>
      </c>
      <c r="B237" s="196" t="s">
        <v>424</v>
      </c>
      <c r="C237" s="214">
        <f>ROUND(VLOOKUP(A237,'Contribution Allocation_Report'!$A$9:$D$314,4,FALSE)*$C$315,0)</f>
        <v>762169</v>
      </c>
      <c r="D237" s="214">
        <f>ROUND(VLOOKUP(A237,'Contribution Allocation_Report'!$A$9:$D$314,4,FALSE)*$D$315,0)</f>
        <v>604385</v>
      </c>
      <c r="E237" s="214">
        <f>ROUND(VLOOKUP(A237,'Contribution Allocation_Report'!$A$9:$D$314,4,FALSE)*$E$315,0)</f>
        <v>475042</v>
      </c>
      <c r="F237" s="192"/>
      <c r="J237" s="59">
        <v>4270</v>
      </c>
      <c r="K237" s="282">
        <f t="shared" si="3"/>
        <v>0</v>
      </c>
    </row>
    <row r="238" spans="1:11">
      <c r="A238" s="193">
        <v>24072</v>
      </c>
      <c r="B238" s="194" t="s">
        <v>225</v>
      </c>
      <c r="C238" s="213">
        <f>ROUND(VLOOKUP(A238,'Contribution Allocation_Report'!$A$9:$D$314,4,FALSE)*$C$315,0)</f>
        <v>2728083</v>
      </c>
      <c r="D238" s="213">
        <f>ROUND(VLOOKUP(A238,'Contribution Allocation_Report'!$A$9:$D$314,4,FALSE)*$D$315,0)</f>
        <v>2163315</v>
      </c>
      <c r="E238" s="213">
        <f>ROUND(VLOOKUP(A238,'Contribution Allocation_Report'!$A$9:$D$314,4,FALSE)*$E$315,0)</f>
        <v>1700351</v>
      </c>
      <c r="F238" s="8"/>
      <c r="J238" s="227">
        <v>24072</v>
      </c>
      <c r="K238" s="282">
        <f t="shared" si="3"/>
        <v>0</v>
      </c>
    </row>
    <row r="239" spans="1:11">
      <c r="A239" s="195">
        <v>14366</v>
      </c>
      <c r="B239" s="196" t="s">
        <v>226</v>
      </c>
      <c r="C239" s="214">
        <f>ROUND(VLOOKUP(A239,'Contribution Allocation_Report'!$A$9:$D$314,4,FALSE)*$C$315,0)</f>
        <v>1721595</v>
      </c>
      <c r="D239" s="214">
        <f>ROUND(VLOOKUP(A239,'Contribution Allocation_Report'!$A$9:$D$314,4,FALSE)*$D$315,0)</f>
        <v>1365191</v>
      </c>
      <c r="E239" s="214">
        <f>ROUND(VLOOKUP(A239,'Contribution Allocation_Report'!$A$9:$D$314,4,FALSE)*$E$315,0)</f>
        <v>1073031</v>
      </c>
      <c r="F239" s="8"/>
      <c r="J239" s="59">
        <v>14366</v>
      </c>
      <c r="K239" s="282">
        <f t="shared" si="3"/>
        <v>0</v>
      </c>
    </row>
    <row r="240" spans="1:11">
      <c r="A240" s="193">
        <v>4317</v>
      </c>
      <c r="B240" s="194" t="s">
        <v>227</v>
      </c>
      <c r="C240" s="213">
        <f>ROUND(VLOOKUP(A240,'Contribution Allocation_Report'!$A$9:$D$314,4,FALSE)*$C$315,0)</f>
        <v>479430</v>
      </c>
      <c r="D240" s="213">
        <f>ROUND(VLOOKUP(A240,'Contribution Allocation_Report'!$A$9:$D$314,4,FALSE)*$D$315,0)</f>
        <v>380179</v>
      </c>
      <c r="E240" s="213">
        <f>ROUND(VLOOKUP(A240,'Contribution Allocation_Report'!$A$9:$D$314,4,FALSE)*$E$315,0)</f>
        <v>298818</v>
      </c>
      <c r="F240" s="8"/>
      <c r="J240" s="227">
        <v>4317</v>
      </c>
      <c r="K240" s="282">
        <f t="shared" si="3"/>
        <v>0</v>
      </c>
    </row>
    <row r="241" spans="1:11">
      <c r="A241" s="195">
        <v>32120</v>
      </c>
      <c r="B241" s="196" t="s">
        <v>228</v>
      </c>
      <c r="C241" s="214">
        <f>ROUND(VLOOKUP(A241,'Contribution Allocation_Report'!$A$9:$D$314,4,FALSE)*$C$315,0)</f>
        <v>953294</v>
      </c>
      <c r="D241" s="214">
        <f>ROUND(VLOOKUP(A241,'Contribution Allocation_Report'!$A$9:$D$314,4,FALSE)*$D$315,0)</f>
        <v>755943</v>
      </c>
      <c r="E241" s="214">
        <f>ROUND(VLOOKUP(A241,'Contribution Allocation_Report'!$A$9:$D$314,4,FALSE)*$E$315,0)</f>
        <v>594166</v>
      </c>
      <c r="F241" s="8"/>
      <c r="J241" s="59">
        <v>32120</v>
      </c>
      <c r="K241" s="282">
        <f t="shared" si="3"/>
        <v>0</v>
      </c>
    </row>
    <row r="242" spans="1:11">
      <c r="A242" s="193">
        <v>3300</v>
      </c>
      <c r="B242" s="194" t="s">
        <v>229</v>
      </c>
      <c r="C242" s="213">
        <f>ROUND(VLOOKUP(A242,'Contribution Allocation_Report'!$A$9:$D$314,4,FALSE)*$C$315,0)</f>
        <v>1379213</v>
      </c>
      <c r="D242" s="213">
        <f>ROUND(VLOOKUP(A242,'Contribution Allocation_Report'!$A$9:$D$314,4,FALSE)*$D$315,0)</f>
        <v>1093688</v>
      </c>
      <c r="E242" s="213">
        <f>ROUND(VLOOKUP(A242,'Contribution Allocation_Report'!$A$9:$D$314,4,FALSE)*$E$315,0)</f>
        <v>859632</v>
      </c>
      <c r="F242" s="8"/>
      <c r="J242" s="227">
        <v>3300</v>
      </c>
      <c r="K242" s="282">
        <f t="shared" si="3"/>
        <v>0</v>
      </c>
    </row>
    <row r="243" spans="1:11">
      <c r="A243" s="195">
        <v>8026</v>
      </c>
      <c r="B243" s="196" t="s">
        <v>230</v>
      </c>
      <c r="C243" s="214">
        <f>ROUND(VLOOKUP(A243,'Contribution Allocation_Report'!$A$9:$D$314,4,FALSE)*$C$315,0)</f>
        <v>7382493</v>
      </c>
      <c r="D243" s="214">
        <f>ROUND(VLOOKUP(A243,'Contribution Allocation_Report'!$A$9:$D$314,4,FALSE)*$D$315,0)</f>
        <v>5854170</v>
      </c>
      <c r="E243" s="214">
        <f>ROUND(VLOOKUP(A243,'Contribution Allocation_Report'!$A$9:$D$314,4,FALSE)*$E$315,0)</f>
        <v>4601338</v>
      </c>
      <c r="F243" s="8"/>
      <c r="J243" s="59">
        <v>8026</v>
      </c>
      <c r="K243" s="282">
        <f t="shared" si="3"/>
        <v>0</v>
      </c>
    </row>
    <row r="244" spans="1:11">
      <c r="A244" s="193">
        <v>32119</v>
      </c>
      <c r="B244" s="194" t="s">
        <v>231</v>
      </c>
      <c r="C244" s="213">
        <f>ROUND(VLOOKUP(A244,'Contribution Allocation_Report'!$A$9:$D$314,4,FALSE)*$C$315,0)</f>
        <v>222829</v>
      </c>
      <c r="D244" s="213">
        <f>ROUND(VLOOKUP(A244,'Contribution Allocation_Report'!$A$9:$D$314,4,FALSE)*$D$315,0)</f>
        <v>176699</v>
      </c>
      <c r="E244" s="213">
        <f>ROUND(VLOOKUP(A244,'Contribution Allocation_Report'!$A$9:$D$314,4,FALSE)*$E$315,0)</f>
        <v>138884</v>
      </c>
      <c r="F244" s="8"/>
      <c r="J244" s="227">
        <v>32119</v>
      </c>
      <c r="K244" s="282">
        <f t="shared" si="3"/>
        <v>0</v>
      </c>
    </row>
    <row r="245" spans="1:11">
      <c r="A245" s="195">
        <v>25076</v>
      </c>
      <c r="B245" s="196" t="s">
        <v>232</v>
      </c>
      <c r="C245" s="214">
        <f>ROUND(VLOOKUP(A245,'Contribution Allocation_Report'!$A$9:$D$314,4,FALSE)*$C$315,0)</f>
        <v>4649374</v>
      </c>
      <c r="D245" s="214">
        <f>ROUND(VLOOKUP(A245,'Contribution Allocation_Report'!$A$9:$D$314,4,FALSE)*$D$315,0)</f>
        <v>3686861</v>
      </c>
      <c r="E245" s="214">
        <f>ROUND(VLOOKUP(A245,'Contribution Allocation_Report'!$A$9:$D$314,4,FALSE)*$E$315,0)</f>
        <v>2897848</v>
      </c>
      <c r="F245" s="8"/>
      <c r="J245" s="59">
        <v>25076</v>
      </c>
      <c r="K245" s="282">
        <f t="shared" si="3"/>
        <v>0</v>
      </c>
    </row>
    <row r="246" spans="1:11">
      <c r="A246" s="193">
        <v>2440</v>
      </c>
      <c r="B246" s="194" t="s">
        <v>401</v>
      </c>
      <c r="C246" s="213">
        <f>ROUND(VLOOKUP(A246,'Contribution Allocation_Report'!$A$9:$D$314,4,FALSE)*$C$315,0)</f>
        <v>1082991</v>
      </c>
      <c r="D246" s="213">
        <f>ROUND(VLOOKUP(A246,'Contribution Allocation_Report'!$A$9:$D$314,4,FALSE)*$D$315,0)</f>
        <v>858790</v>
      </c>
      <c r="E246" s="213">
        <f>ROUND(VLOOKUP(A246,'Contribution Allocation_Report'!$A$9:$D$314,4,FALSE)*$E$315,0)</f>
        <v>675003</v>
      </c>
      <c r="F246" s="8"/>
      <c r="J246" s="227">
        <v>2440</v>
      </c>
      <c r="K246" s="282">
        <f t="shared" si="3"/>
        <v>0</v>
      </c>
    </row>
    <row r="247" spans="1:11">
      <c r="A247" s="195">
        <v>2309</v>
      </c>
      <c r="B247" s="196" t="s">
        <v>233</v>
      </c>
      <c r="C247" s="214">
        <f>ROUND(VLOOKUP(A247,'Contribution Allocation_Report'!$A$9:$D$314,4,FALSE)*$C$315,0)</f>
        <v>2057032</v>
      </c>
      <c r="D247" s="214">
        <f>ROUND(VLOOKUP(A247,'Contribution Allocation_Report'!$A$9:$D$314,4,FALSE)*$D$315,0)</f>
        <v>1631185</v>
      </c>
      <c r="E247" s="214">
        <f>ROUND(VLOOKUP(A247,'Contribution Allocation_Report'!$A$9:$D$314,4,FALSE)*$E$315,0)</f>
        <v>1282101</v>
      </c>
      <c r="F247" s="8"/>
      <c r="J247" s="59">
        <v>2309</v>
      </c>
      <c r="K247" s="282">
        <f t="shared" si="3"/>
        <v>0</v>
      </c>
    </row>
    <row r="248" spans="1:11">
      <c r="A248" s="193">
        <v>2396</v>
      </c>
      <c r="B248" s="194" t="s">
        <v>234</v>
      </c>
      <c r="C248" s="213">
        <f>ROUND(VLOOKUP(A248,'Contribution Allocation_Report'!$A$9:$D$314,4,FALSE)*$C$315,0)</f>
        <v>522021</v>
      </c>
      <c r="D248" s="213">
        <f>ROUND(VLOOKUP(A248,'Contribution Allocation_Report'!$A$9:$D$314,4,FALSE)*$D$315,0)</f>
        <v>413952</v>
      </c>
      <c r="E248" s="213">
        <f>ROUND(VLOOKUP(A248,'Contribution Allocation_Report'!$A$9:$D$314,4,FALSE)*$E$315,0)</f>
        <v>325363</v>
      </c>
      <c r="F248" s="8"/>
      <c r="J248" s="227">
        <v>2396</v>
      </c>
      <c r="K248" s="282">
        <f t="shared" si="3"/>
        <v>0</v>
      </c>
    </row>
    <row r="249" spans="1:11" s="190" customFormat="1">
      <c r="A249" s="195" t="s">
        <v>606</v>
      </c>
      <c r="B249" s="196" t="s">
        <v>484</v>
      </c>
      <c r="C249" s="214">
        <f>ROUND(VLOOKUP(A249,'Contribution Allocation_Report'!$A$9:$D$314,4,FALSE)*$C$315,0)</f>
        <v>3764560</v>
      </c>
      <c r="D249" s="214">
        <f>ROUND(VLOOKUP(A249,'Contribution Allocation_Report'!$A$9:$D$314,4,FALSE)*$D$315,0)</f>
        <v>2985221</v>
      </c>
      <c r="E249" s="214">
        <f>ROUND(VLOOKUP(A249,'Contribution Allocation_Report'!$A$9:$D$314,4,FALSE)*$E$315,0)</f>
        <v>2346364</v>
      </c>
      <c r="F249" s="192"/>
      <c r="J249" s="227"/>
      <c r="K249" s="282"/>
    </row>
    <row r="250" spans="1:11">
      <c r="A250" s="193">
        <v>3380</v>
      </c>
      <c r="B250" s="194" t="s">
        <v>235</v>
      </c>
      <c r="C250" s="213">
        <f>ROUND(VLOOKUP(A250,'Contribution Allocation_Report'!$A$9:$D$314,4,FALSE)*$C$315,0)</f>
        <v>351360</v>
      </c>
      <c r="D250" s="213">
        <f>ROUND(VLOOKUP(A250,'Contribution Allocation_Report'!$A$9:$D$314,4,FALSE)*$D$315,0)</f>
        <v>278621</v>
      </c>
      <c r="E250" s="213">
        <f>ROUND(VLOOKUP(A250,'Contribution Allocation_Report'!$A$9:$D$314,4,FALSE)*$E$315,0)</f>
        <v>218994</v>
      </c>
      <c r="F250" s="8"/>
      <c r="J250" s="59">
        <v>3380</v>
      </c>
      <c r="K250" s="282">
        <f t="shared" si="3"/>
        <v>0</v>
      </c>
    </row>
    <row r="251" spans="1:11">
      <c r="A251" s="195">
        <v>2420</v>
      </c>
      <c r="B251" s="196" t="s">
        <v>236</v>
      </c>
      <c r="C251" s="214">
        <f>ROUND(VLOOKUP(A251,'Contribution Allocation_Report'!$A$9:$D$314,4,FALSE)*$C$315,0)</f>
        <v>597870</v>
      </c>
      <c r="D251" s="214">
        <f>ROUND(VLOOKUP(A251,'Contribution Allocation_Report'!$A$9:$D$314,4,FALSE)*$D$315,0)</f>
        <v>474099</v>
      </c>
      <c r="E251" s="214">
        <f>ROUND(VLOOKUP(A251,'Contribution Allocation_Report'!$A$9:$D$314,4,FALSE)*$E$315,0)</f>
        <v>372639</v>
      </c>
      <c r="F251" s="8"/>
      <c r="J251" s="227">
        <v>2420</v>
      </c>
      <c r="K251" s="282">
        <f t="shared" si="3"/>
        <v>0</v>
      </c>
    </row>
    <row r="252" spans="1:11">
      <c r="A252" s="193">
        <v>2740</v>
      </c>
      <c r="B252" s="194" t="s">
        <v>237</v>
      </c>
      <c r="C252" s="213">
        <f>ROUND(VLOOKUP(A252,'Contribution Allocation_Report'!$A$9:$D$314,4,FALSE)*$C$315,0)</f>
        <v>61906</v>
      </c>
      <c r="D252" s="213">
        <f>ROUND(VLOOKUP(A252,'Contribution Allocation_Report'!$A$9:$D$314,4,FALSE)*$D$315,0)</f>
        <v>49090</v>
      </c>
      <c r="E252" s="213">
        <f>ROUND(VLOOKUP(A252,'Contribution Allocation_Report'!$A$9:$D$314,4,FALSE)*$E$315,0)</f>
        <v>38585</v>
      </c>
      <c r="F252" s="8"/>
      <c r="J252" s="59">
        <v>2740</v>
      </c>
      <c r="K252" s="282">
        <f t="shared" si="3"/>
        <v>0</v>
      </c>
    </row>
    <row r="253" spans="1:11">
      <c r="A253" s="195">
        <v>2346</v>
      </c>
      <c r="B253" s="196" t="s">
        <v>238</v>
      </c>
      <c r="C253" s="214">
        <f>ROUND(VLOOKUP(A253,'Contribution Allocation_Report'!$A$9:$D$314,4,FALSE)*$C$315,0)</f>
        <v>387287</v>
      </c>
      <c r="D253" s="214">
        <f>ROUND(VLOOKUP(A253,'Contribution Allocation_Report'!$A$9:$D$314,4,FALSE)*$D$315,0)</f>
        <v>307111</v>
      </c>
      <c r="E253" s="214">
        <f>ROUND(VLOOKUP(A253,'Contribution Allocation_Report'!$A$9:$D$314,4,FALSE)*$E$315,0)</f>
        <v>241387</v>
      </c>
      <c r="F253" s="8"/>
      <c r="J253" s="227">
        <v>2346</v>
      </c>
      <c r="K253" s="282">
        <f t="shared" si="3"/>
        <v>0</v>
      </c>
    </row>
    <row r="254" spans="1:11">
      <c r="A254" s="193">
        <v>21150</v>
      </c>
      <c r="B254" s="194" t="s">
        <v>239</v>
      </c>
      <c r="C254" s="213">
        <f>ROUND(VLOOKUP(A254,'Contribution Allocation_Report'!$A$9:$D$314,4,FALSE)*$C$315,0)</f>
        <v>1738755</v>
      </c>
      <c r="D254" s="213">
        <f>ROUND(VLOOKUP(A254,'Contribution Allocation_Report'!$A$9:$D$314,4,FALSE)*$D$315,0)</f>
        <v>1378798</v>
      </c>
      <c r="E254" s="213">
        <f>ROUND(VLOOKUP(A254,'Contribution Allocation_Report'!$A$9:$D$314,4,FALSE)*$E$315,0)</f>
        <v>1083726</v>
      </c>
      <c r="F254" s="8"/>
      <c r="J254" s="59">
        <v>21150</v>
      </c>
      <c r="K254" s="282">
        <f t="shared" si="3"/>
        <v>0</v>
      </c>
    </row>
    <row r="255" spans="1:11">
      <c r="A255" s="195">
        <v>32098</v>
      </c>
      <c r="B255" s="196" t="s">
        <v>240</v>
      </c>
      <c r="C255" s="214">
        <f>ROUND(VLOOKUP(A255,'Contribution Allocation_Report'!$A$9:$D$314,4,FALSE)*$C$315,0)</f>
        <v>394339</v>
      </c>
      <c r="D255" s="214">
        <f>ROUND(VLOOKUP(A255,'Contribution Allocation_Report'!$A$9:$D$314,4,FALSE)*$D$315,0)</f>
        <v>312703</v>
      </c>
      <c r="E255" s="214">
        <f>ROUND(VLOOKUP(A255,'Contribution Allocation_Report'!$A$9:$D$314,4,FALSE)*$E$315,0)</f>
        <v>245782</v>
      </c>
      <c r="F255" s="8"/>
      <c r="J255" s="227">
        <v>32098</v>
      </c>
      <c r="K255" s="282">
        <f t="shared" si="3"/>
        <v>0</v>
      </c>
    </row>
    <row r="256" spans="1:11">
      <c r="A256" s="193">
        <v>4520</v>
      </c>
      <c r="B256" s="194" t="s">
        <v>241</v>
      </c>
      <c r="C256" s="213">
        <f>ROUND(VLOOKUP(A256,'Contribution Allocation_Report'!$A$9:$D$314,4,FALSE)*$C$315,0)</f>
        <v>61747</v>
      </c>
      <c r="D256" s="213">
        <f>ROUND(VLOOKUP(A256,'Contribution Allocation_Report'!$A$9:$D$314,4,FALSE)*$D$315,0)</f>
        <v>48964</v>
      </c>
      <c r="E256" s="213">
        <f>ROUND(VLOOKUP(A256,'Contribution Allocation_Report'!$A$9:$D$314,4,FALSE)*$E$315,0)</f>
        <v>38485</v>
      </c>
      <c r="F256" s="8"/>
      <c r="J256" s="59">
        <v>4520</v>
      </c>
      <c r="K256" s="282">
        <f t="shared" si="3"/>
        <v>0</v>
      </c>
    </row>
    <row r="257" spans="1:11">
      <c r="A257" s="195">
        <v>9030</v>
      </c>
      <c r="B257" s="196" t="s">
        <v>242</v>
      </c>
      <c r="C257" s="214">
        <f>ROUND(VLOOKUP(A257,'Contribution Allocation_Report'!$A$9:$D$314,4,FALSE)*$C$315,0)</f>
        <v>596491</v>
      </c>
      <c r="D257" s="214">
        <f>ROUND(VLOOKUP(A257,'Contribution Allocation_Report'!$A$9:$D$314,4,FALSE)*$D$315,0)</f>
        <v>473006</v>
      </c>
      <c r="E257" s="214">
        <f>ROUND(VLOOKUP(A257,'Contribution Allocation_Report'!$A$9:$D$314,4,FALSE)*$E$315,0)</f>
        <v>371779</v>
      </c>
      <c r="F257" s="8"/>
      <c r="J257" s="227">
        <v>9030</v>
      </c>
      <c r="K257" s="282">
        <f t="shared" si="3"/>
        <v>0</v>
      </c>
    </row>
    <row r="258" spans="1:11">
      <c r="A258" s="193">
        <v>20265</v>
      </c>
      <c r="B258" s="194" t="s">
        <v>243</v>
      </c>
      <c r="C258" s="213">
        <f>ROUND(VLOOKUP(A258,'Contribution Allocation_Report'!$A$9:$D$314,4,FALSE)*$C$315,0)</f>
        <v>859083</v>
      </c>
      <c r="D258" s="213">
        <f>ROUND(VLOOKUP(A258,'Contribution Allocation_Report'!$A$9:$D$314,4,FALSE)*$D$315,0)</f>
        <v>681236</v>
      </c>
      <c r="E258" s="213">
        <f>ROUND(VLOOKUP(A258,'Contribution Allocation_Report'!$A$9:$D$314,4,FALSE)*$E$315,0)</f>
        <v>535447</v>
      </c>
      <c r="F258" s="8"/>
      <c r="J258" s="59">
        <v>20265</v>
      </c>
      <c r="K258" s="282">
        <f t="shared" si="3"/>
        <v>0</v>
      </c>
    </row>
    <row r="259" spans="1:11">
      <c r="A259" s="195">
        <v>20307</v>
      </c>
      <c r="B259" s="196" t="s">
        <v>244</v>
      </c>
      <c r="C259" s="214">
        <f>ROUND(VLOOKUP(A259,'Contribution Allocation_Report'!$A$9:$D$314,4,FALSE)*$C$315,0)</f>
        <v>722141</v>
      </c>
      <c r="D259" s="214">
        <f>ROUND(VLOOKUP(A259,'Contribution Allocation_Report'!$A$9:$D$314,4,FALSE)*$D$315,0)</f>
        <v>572643</v>
      </c>
      <c r="E259" s="214">
        <f>ROUND(VLOOKUP(A259,'Contribution Allocation_Report'!$A$9:$D$314,4,FALSE)*$E$315,0)</f>
        <v>450094</v>
      </c>
      <c r="F259" s="8"/>
      <c r="J259" s="227">
        <v>20307</v>
      </c>
      <c r="K259" s="282">
        <f t="shared" si="3"/>
        <v>0</v>
      </c>
    </row>
    <row r="260" spans="1:11">
      <c r="A260" s="193">
        <v>3320</v>
      </c>
      <c r="B260" s="194" t="s">
        <v>245</v>
      </c>
      <c r="C260" s="213">
        <f>ROUND(VLOOKUP(A260,'Contribution Allocation_Report'!$A$9:$D$314,4,FALSE)*$C$315,0)</f>
        <v>4473182</v>
      </c>
      <c r="D260" s="213">
        <f>ROUND(VLOOKUP(A260,'Contribution Allocation_Report'!$A$9:$D$314,4,FALSE)*$D$315,0)</f>
        <v>3547144</v>
      </c>
      <c r="E260" s="213">
        <f>ROUND(VLOOKUP(A260,'Contribution Allocation_Report'!$A$9:$D$314,4,FALSE)*$E$315,0)</f>
        <v>2788031</v>
      </c>
      <c r="F260" s="8"/>
      <c r="J260" s="59">
        <v>3320</v>
      </c>
      <c r="K260" s="282">
        <f t="shared" si="3"/>
        <v>0</v>
      </c>
    </row>
    <row r="261" spans="1:11">
      <c r="A261" s="195">
        <v>20415</v>
      </c>
      <c r="B261" s="196" t="s">
        <v>246</v>
      </c>
      <c r="C261" s="214">
        <f>ROUND(VLOOKUP(A261,'Contribution Allocation_Report'!$A$9:$D$314,4,FALSE)*$C$315,0)</f>
        <v>530574</v>
      </c>
      <c r="D261" s="214">
        <f>ROUND(VLOOKUP(A261,'Contribution Allocation_Report'!$A$9:$D$314,4,FALSE)*$D$315,0)</f>
        <v>420735</v>
      </c>
      <c r="E261" s="214">
        <f>ROUND(VLOOKUP(A261,'Contribution Allocation_Report'!$A$9:$D$314,4,FALSE)*$E$315,0)</f>
        <v>330695</v>
      </c>
      <c r="F261" s="8"/>
      <c r="J261" s="227">
        <v>20415</v>
      </c>
      <c r="K261" s="282">
        <f t="shared" si="3"/>
        <v>0</v>
      </c>
    </row>
    <row r="262" spans="1:11">
      <c r="A262" s="193">
        <v>20435</v>
      </c>
      <c r="B262" s="194" t="s">
        <v>418</v>
      </c>
      <c r="C262" s="213">
        <f>ROUND(VLOOKUP(A262,'Contribution Allocation_Report'!$A$9:$D$314,4,FALSE)*$C$315,0)</f>
        <v>596014</v>
      </c>
      <c r="D262" s="213">
        <f>ROUND(VLOOKUP(A262,'Contribution Allocation_Report'!$A$9:$D$314,4,FALSE)*$D$315,0)</f>
        <v>472627</v>
      </c>
      <c r="E262" s="213">
        <f>ROUND(VLOOKUP(A262,'Contribution Allocation_Report'!$A$9:$D$314,4,FALSE)*$E$315,0)</f>
        <v>371482</v>
      </c>
      <c r="F262" s="8"/>
      <c r="J262" s="59">
        <v>20435</v>
      </c>
      <c r="K262" s="282">
        <f t="shared" si="3"/>
        <v>0</v>
      </c>
    </row>
    <row r="263" spans="1:11">
      <c r="A263" s="195">
        <v>20062</v>
      </c>
      <c r="B263" s="196" t="s">
        <v>247</v>
      </c>
      <c r="C263" s="214">
        <f>ROUND(VLOOKUP(A263,'Contribution Allocation_Report'!$A$9:$D$314,4,FALSE)*$C$315,0)</f>
        <v>5909405</v>
      </c>
      <c r="D263" s="214">
        <f>ROUND(VLOOKUP(A263,'Contribution Allocation_Report'!$A$9:$D$314,4,FALSE)*$D$315,0)</f>
        <v>4686041</v>
      </c>
      <c r="E263" s="214">
        <f>ROUND(VLOOKUP(A263,'Contribution Allocation_Report'!$A$9:$D$314,4,FALSE)*$E$315,0)</f>
        <v>3683197</v>
      </c>
      <c r="F263" s="8"/>
      <c r="J263" s="227">
        <v>20062</v>
      </c>
      <c r="K263" s="282">
        <f t="shared" si="3"/>
        <v>0</v>
      </c>
    </row>
    <row r="264" spans="1:11" s="190" customFormat="1">
      <c r="A264" s="193">
        <v>3410</v>
      </c>
      <c r="B264" s="194" t="s">
        <v>486</v>
      </c>
      <c r="C264" s="213">
        <f>ROUND(VLOOKUP(A264,'Contribution Allocation_Report'!$A$9:$D$314,4,FALSE)*$C$315,0)</f>
        <v>78111</v>
      </c>
      <c r="D264" s="213">
        <f>ROUND(VLOOKUP(A264,'Contribution Allocation_Report'!$A$9:$D$314,4,FALSE)*$D$315,0)</f>
        <v>61941</v>
      </c>
      <c r="E264" s="213">
        <f>ROUND(VLOOKUP(A264,'Contribution Allocation_Report'!$A$9:$D$314,4,FALSE)*$E$315,0)</f>
        <v>48685</v>
      </c>
      <c r="F264" s="192"/>
      <c r="J264" s="227"/>
      <c r="K264" s="282"/>
    </row>
    <row r="265" spans="1:11">
      <c r="A265" s="195">
        <v>6020</v>
      </c>
      <c r="B265" s="196" t="s">
        <v>248</v>
      </c>
      <c r="C265" s="214">
        <f>ROUND(VLOOKUP(A265,'Contribution Allocation_Report'!$A$9:$D$314,4,FALSE)*$C$315,0)</f>
        <v>1251036</v>
      </c>
      <c r="D265" s="214">
        <f>ROUND(VLOOKUP(A265,'Contribution Allocation_Report'!$A$9:$D$314,4,FALSE)*$D$315,0)</f>
        <v>992047</v>
      </c>
      <c r="E265" s="214">
        <f>ROUND(VLOOKUP(A265,'Contribution Allocation_Report'!$A$9:$D$314,4,FALSE)*$E$315,0)</f>
        <v>779742</v>
      </c>
      <c r="F265" s="8"/>
      <c r="J265" s="59">
        <v>6020</v>
      </c>
      <c r="K265" s="282">
        <f t="shared" si="3"/>
        <v>0</v>
      </c>
    </row>
    <row r="266" spans="1:11">
      <c r="A266" s="193">
        <v>2394</v>
      </c>
      <c r="B266" s="194" t="s">
        <v>249</v>
      </c>
      <c r="C266" s="213">
        <f>ROUND(VLOOKUP(A266,'Contribution Allocation_Report'!$A$9:$D$314,4,FALSE)*$C$315,0)</f>
        <v>780742</v>
      </c>
      <c r="D266" s="213">
        <f>ROUND(VLOOKUP(A266,'Contribution Allocation_Report'!$A$9:$D$314,4,FALSE)*$D$315,0)</f>
        <v>619113</v>
      </c>
      <c r="E266" s="213">
        <f>ROUND(VLOOKUP(A266,'Contribution Allocation_Report'!$A$9:$D$314,4,FALSE)*$E$315,0)</f>
        <v>486619</v>
      </c>
      <c r="F266" s="8"/>
      <c r="J266" s="227">
        <v>2394</v>
      </c>
      <c r="K266" s="282">
        <f t="shared" si="3"/>
        <v>0</v>
      </c>
    </row>
    <row r="267" spans="1:11">
      <c r="A267" s="195">
        <v>5015</v>
      </c>
      <c r="B267" s="196" t="s">
        <v>250</v>
      </c>
      <c r="C267" s="214">
        <f>ROUND(VLOOKUP(A267,'Contribution Allocation_Report'!$A$9:$D$314,4,FALSE)*$C$315,0)</f>
        <v>1722284</v>
      </c>
      <c r="D267" s="214">
        <f>ROUND(VLOOKUP(A267,'Contribution Allocation_Report'!$A$9:$D$314,4,FALSE)*$D$315,0)</f>
        <v>1365737</v>
      </c>
      <c r="E267" s="214">
        <f>ROUND(VLOOKUP(A267,'Contribution Allocation_Report'!$A$9:$D$314,4,FALSE)*$E$315,0)</f>
        <v>1073460</v>
      </c>
      <c r="F267" s="8"/>
      <c r="J267" s="59">
        <v>5015</v>
      </c>
      <c r="K267" s="282">
        <f t="shared" si="3"/>
        <v>0</v>
      </c>
    </row>
    <row r="268" spans="1:11">
      <c r="A268" s="193">
        <v>29408</v>
      </c>
      <c r="B268" s="194" t="s">
        <v>251</v>
      </c>
      <c r="C268" s="213">
        <f>ROUND(VLOOKUP(A268,'Contribution Allocation_Report'!$A$9:$D$314,4,FALSE)*$C$315,0)</f>
        <v>1282281</v>
      </c>
      <c r="D268" s="213">
        <f>ROUND(VLOOKUP(A268,'Contribution Allocation_Report'!$A$9:$D$314,4,FALSE)*$D$315,0)</f>
        <v>1016823</v>
      </c>
      <c r="E268" s="213">
        <f>ROUND(VLOOKUP(A268,'Contribution Allocation_Report'!$A$9:$D$314,4,FALSE)*$E$315,0)</f>
        <v>799216</v>
      </c>
      <c r="F268" s="8"/>
      <c r="J268" s="227">
        <v>29408</v>
      </c>
      <c r="K268" s="282">
        <f t="shared" si="3"/>
        <v>0</v>
      </c>
    </row>
    <row r="269" spans="1:11">
      <c r="A269" s="195">
        <v>2413</v>
      </c>
      <c r="B269" s="196" t="s">
        <v>252</v>
      </c>
      <c r="C269" s="214">
        <f>ROUND(VLOOKUP(A269,'Contribution Allocation_Report'!$A$9:$D$314,4,FALSE)*$C$315,0)</f>
        <v>227513</v>
      </c>
      <c r="D269" s="214">
        <f>ROUND(VLOOKUP(A269,'Contribution Allocation_Report'!$A$9:$D$314,4,FALSE)*$D$315,0)</f>
        <v>180413</v>
      </c>
      <c r="E269" s="214">
        <f>ROUND(VLOOKUP(A269,'Contribution Allocation_Report'!$A$9:$D$314,4,FALSE)*$E$315,0)</f>
        <v>141803</v>
      </c>
      <c r="F269" s="8"/>
      <c r="J269" s="59">
        <v>2413</v>
      </c>
      <c r="K269" s="282">
        <f t="shared" si="3"/>
        <v>0</v>
      </c>
    </row>
    <row r="270" spans="1:11">
      <c r="A270" s="193">
        <v>1398</v>
      </c>
      <c r="B270" s="194" t="s">
        <v>253</v>
      </c>
      <c r="C270" s="213">
        <f>ROUND(VLOOKUP(A270,'Contribution Allocation_Report'!$A$9:$D$314,4,FALSE)*$C$315,0)</f>
        <v>774398</v>
      </c>
      <c r="D270" s="213">
        <f>ROUND(VLOOKUP(A270,'Contribution Allocation_Report'!$A$9:$D$314,4,FALSE)*$D$315,0)</f>
        <v>614082</v>
      </c>
      <c r="E270" s="213">
        <f>ROUND(VLOOKUP(A270,'Contribution Allocation_Report'!$A$9:$D$314,4,FALSE)*$E$315,0)</f>
        <v>482664</v>
      </c>
      <c r="F270" s="8"/>
      <c r="J270" s="227">
        <v>1398</v>
      </c>
      <c r="K270" s="282">
        <f t="shared" si="3"/>
        <v>0</v>
      </c>
    </row>
    <row r="271" spans="1:11">
      <c r="A271" s="195">
        <v>2366</v>
      </c>
      <c r="B271" s="196" t="s">
        <v>254</v>
      </c>
      <c r="C271" s="214">
        <f>ROUND(VLOOKUP(A271,'Contribution Allocation_Report'!$A$9:$D$314,4,FALSE)*$C$315,0)</f>
        <v>478847</v>
      </c>
      <c r="D271" s="214">
        <f>ROUND(VLOOKUP(A271,'Contribution Allocation_Report'!$A$9:$D$314,4,FALSE)*$D$315,0)</f>
        <v>379716</v>
      </c>
      <c r="E271" s="214">
        <f>ROUND(VLOOKUP(A271,'Contribution Allocation_Report'!$A$9:$D$314,4,FALSE)*$E$315,0)</f>
        <v>298454</v>
      </c>
      <c r="F271" s="8"/>
      <c r="J271" s="59">
        <v>2366</v>
      </c>
      <c r="K271" s="282">
        <f t="shared" ref="K271:K313" si="4">+A271-J271</f>
        <v>0</v>
      </c>
    </row>
    <row r="272" spans="1:11">
      <c r="A272" s="193">
        <v>7421</v>
      </c>
      <c r="B272" s="194" t="s">
        <v>255</v>
      </c>
      <c r="C272" s="213">
        <f>ROUND(VLOOKUP(A272,'Contribution Allocation_Report'!$A$9:$D$314,4,FALSE)*$C$315,0)</f>
        <v>433412</v>
      </c>
      <c r="D272" s="213">
        <f>ROUND(VLOOKUP(A272,'Contribution Allocation_Report'!$A$9:$D$314,4,FALSE)*$D$315,0)</f>
        <v>343687</v>
      </c>
      <c r="E272" s="213">
        <f>ROUND(VLOOKUP(A272,'Contribution Allocation_Report'!$A$9:$D$314,4,FALSE)*$E$315,0)</f>
        <v>270136</v>
      </c>
      <c r="F272" s="8"/>
      <c r="J272" s="227">
        <v>7421</v>
      </c>
      <c r="K272" s="282">
        <f t="shared" si="4"/>
        <v>0</v>
      </c>
    </row>
    <row r="273" spans="1:11" s="190" customFormat="1">
      <c r="A273" s="195">
        <v>1425</v>
      </c>
      <c r="B273" s="196" t="s">
        <v>445</v>
      </c>
      <c r="C273" s="214">
        <f>ROUND(VLOOKUP(A273,'Contribution Allocation_Report'!$A$9:$D$314,4,FALSE)*$C$315,0)</f>
        <v>723307</v>
      </c>
      <c r="D273" s="214">
        <f>ROUND(VLOOKUP(A273,'Contribution Allocation_Report'!$A$9:$D$314,4,FALSE)*$D$315,0)</f>
        <v>573568</v>
      </c>
      <c r="E273" s="214">
        <f>ROUND(VLOOKUP(A273,'Contribution Allocation_Report'!$A$9:$D$314,4,FALSE)*$E$315,0)</f>
        <v>450821</v>
      </c>
      <c r="F273" s="192"/>
      <c r="J273" s="59">
        <v>1425</v>
      </c>
      <c r="K273" s="282">
        <f t="shared" si="4"/>
        <v>0</v>
      </c>
    </row>
    <row r="274" spans="1:11">
      <c r="A274" s="193">
        <v>2370</v>
      </c>
      <c r="B274" s="194" t="s">
        <v>256</v>
      </c>
      <c r="C274" s="213">
        <f>ROUND(VLOOKUP(A274,'Contribution Allocation_Report'!$A$9:$D$314,4,FALSE)*$C$315,0)</f>
        <v>673967</v>
      </c>
      <c r="D274" s="213">
        <f>ROUND(VLOOKUP(A274,'Contribution Allocation_Report'!$A$9:$D$314,4,FALSE)*$D$315,0)</f>
        <v>534442</v>
      </c>
      <c r="E274" s="213">
        <f>ROUND(VLOOKUP(A274,'Contribution Allocation_Report'!$A$9:$D$314,4,FALSE)*$E$315,0)</f>
        <v>420068</v>
      </c>
      <c r="F274" s="8"/>
      <c r="J274" s="227">
        <v>2370</v>
      </c>
      <c r="K274" s="282">
        <f t="shared" si="4"/>
        <v>0</v>
      </c>
    </row>
    <row r="275" spans="1:11">
      <c r="A275" s="195">
        <v>32094</v>
      </c>
      <c r="B275" s="196" t="s">
        <v>257</v>
      </c>
      <c r="C275" s="214">
        <f>ROUND(VLOOKUP(A275,'Contribution Allocation_Report'!$A$9:$D$314,4,FALSE)*$C$315,0)</f>
        <v>890487</v>
      </c>
      <c r="D275" s="214">
        <f>ROUND(VLOOKUP(A275,'Contribution Allocation_Report'!$A$9:$D$314,4,FALSE)*$D$315,0)</f>
        <v>706138</v>
      </c>
      <c r="E275" s="214">
        <f>ROUND(VLOOKUP(A275,'Contribution Allocation_Report'!$A$9:$D$314,4,FALSE)*$E$315,0)</f>
        <v>555020</v>
      </c>
      <c r="F275" s="8"/>
      <c r="J275" s="59">
        <v>32094</v>
      </c>
      <c r="K275" s="282">
        <f t="shared" si="4"/>
        <v>0</v>
      </c>
    </row>
    <row r="276" spans="1:11">
      <c r="A276" s="193">
        <v>2790</v>
      </c>
      <c r="B276" s="194" t="s">
        <v>258</v>
      </c>
      <c r="C276" s="213">
        <f>ROUND(VLOOKUP(A276,'Contribution Allocation_Report'!$A$9:$D$314,4,FALSE)*$C$315,0)</f>
        <v>85852</v>
      </c>
      <c r="D276" s="213">
        <f>ROUND(VLOOKUP(A276,'Contribution Allocation_Report'!$A$9:$D$314,4,FALSE)*$D$315,0)</f>
        <v>68079</v>
      </c>
      <c r="E276" s="213">
        <f>ROUND(VLOOKUP(A276,'Contribution Allocation_Report'!$A$9:$D$314,4,FALSE)*$E$315,0)</f>
        <v>53509</v>
      </c>
      <c r="F276" s="8"/>
      <c r="J276" s="227">
        <v>2790</v>
      </c>
      <c r="K276" s="282">
        <f t="shared" si="4"/>
        <v>0</v>
      </c>
    </row>
    <row r="277" spans="1:11">
      <c r="A277" s="195">
        <v>3330</v>
      </c>
      <c r="B277" s="196" t="s">
        <v>259</v>
      </c>
      <c r="C277" s="214">
        <f>ROUND(VLOOKUP(A277,'Contribution Allocation_Report'!$A$9:$D$314,4,FALSE)*$C$315,0)</f>
        <v>1921804</v>
      </c>
      <c r="D277" s="214">
        <f>ROUND(VLOOKUP(A277,'Contribution Allocation_Report'!$A$9:$D$314,4,FALSE)*$D$315,0)</f>
        <v>1523952</v>
      </c>
      <c r="E277" s="214">
        <f>ROUND(VLOOKUP(A277,'Contribution Allocation_Report'!$A$9:$D$314,4,FALSE)*$E$315,0)</f>
        <v>1197816</v>
      </c>
      <c r="F277" s="8"/>
      <c r="J277" s="59">
        <v>3330</v>
      </c>
      <c r="K277" s="282">
        <f t="shared" si="4"/>
        <v>0</v>
      </c>
    </row>
    <row r="278" spans="1:11">
      <c r="A278" s="193">
        <v>2080</v>
      </c>
      <c r="B278" s="194" t="s">
        <v>260</v>
      </c>
      <c r="C278" s="213">
        <f>ROUND(VLOOKUP(A278,'Contribution Allocation_Report'!$A$9:$D$314,4,FALSE)*$C$315,0)</f>
        <v>2325562</v>
      </c>
      <c r="D278" s="213">
        <f>ROUND(VLOOKUP(A278,'Contribution Allocation_Report'!$A$9:$D$314,4,FALSE)*$D$315,0)</f>
        <v>1844124</v>
      </c>
      <c r="E278" s="213">
        <f>ROUND(VLOOKUP(A278,'Contribution Allocation_Report'!$A$9:$D$314,4,FALSE)*$E$315,0)</f>
        <v>1449469</v>
      </c>
      <c r="F278" s="8"/>
      <c r="J278" s="227">
        <v>2080</v>
      </c>
      <c r="K278" s="282">
        <f t="shared" si="4"/>
        <v>0</v>
      </c>
    </row>
    <row r="279" spans="1:11">
      <c r="A279" s="195">
        <v>4290</v>
      </c>
      <c r="B279" s="196" t="s">
        <v>261</v>
      </c>
      <c r="C279" s="214">
        <f>ROUND(VLOOKUP(A279,'Contribution Allocation_Report'!$A$9:$D$314,4,FALSE)*$C$315,0)</f>
        <v>954796</v>
      </c>
      <c r="D279" s="214">
        <f>ROUND(VLOOKUP(A279,'Contribution Allocation_Report'!$A$9:$D$314,4,FALSE)*$D$315,0)</f>
        <v>757134</v>
      </c>
      <c r="E279" s="214">
        <f>ROUND(VLOOKUP(A279,'Contribution Allocation_Report'!$A$9:$D$314,4,FALSE)*$E$315,0)</f>
        <v>595103</v>
      </c>
      <c r="F279" s="8"/>
      <c r="J279" s="59">
        <v>4290</v>
      </c>
      <c r="K279" s="282">
        <f t="shared" si="4"/>
        <v>0</v>
      </c>
    </row>
    <row r="280" spans="1:11">
      <c r="A280" s="193">
        <v>2270</v>
      </c>
      <c r="B280" s="194" t="s">
        <v>262</v>
      </c>
      <c r="C280" s="213">
        <f>ROUND(VLOOKUP(A280,'Contribution Allocation_Report'!$A$9:$D$314,4,FALSE)*$C$315,0)</f>
        <v>32835</v>
      </c>
      <c r="D280" s="213">
        <f>ROUND(VLOOKUP(A280,'Contribution Allocation_Report'!$A$9:$D$314,4,FALSE)*$D$315,0)</f>
        <v>26038</v>
      </c>
      <c r="E280" s="213">
        <f>ROUND(VLOOKUP(A280,'Contribution Allocation_Report'!$A$9:$D$314,4,FALSE)*$E$315,0)</f>
        <v>20465</v>
      </c>
      <c r="F280" s="8"/>
      <c r="J280" s="227">
        <v>2270</v>
      </c>
      <c r="K280" s="282">
        <f t="shared" si="4"/>
        <v>0</v>
      </c>
    </row>
    <row r="281" spans="1:11">
      <c r="A281" s="195">
        <v>2300</v>
      </c>
      <c r="B281" s="196" t="s">
        <v>263</v>
      </c>
      <c r="C281" s="214">
        <f>ROUND(VLOOKUP(A281,'Contribution Allocation_Report'!$A$9:$D$314,4,FALSE)*$C$315,0)</f>
        <v>366876</v>
      </c>
      <c r="D281" s="214">
        <f>ROUND(VLOOKUP(A281,'Contribution Allocation_Report'!$A$9:$D$314,4,FALSE)*$D$315,0)</f>
        <v>290925</v>
      </c>
      <c r="E281" s="214">
        <f>ROUND(VLOOKUP(A281,'Contribution Allocation_Report'!$A$9:$D$314,4,FALSE)*$E$315,0)</f>
        <v>228665</v>
      </c>
      <c r="F281" s="8"/>
      <c r="J281" s="59">
        <v>2300</v>
      </c>
      <c r="K281" s="282">
        <f t="shared" si="4"/>
        <v>0</v>
      </c>
    </row>
    <row r="282" spans="1:11">
      <c r="A282" s="193">
        <v>2720</v>
      </c>
      <c r="B282" s="194" t="s">
        <v>264</v>
      </c>
      <c r="C282" s="213">
        <f>ROUND(VLOOKUP(A282,'Contribution Allocation_Report'!$A$9:$D$314,4,FALSE)*$C$315,0)</f>
        <v>2898973</v>
      </c>
      <c r="D282" s="213">
        <f>ROUND(VLOOKUP(A282,'Contribution Allocation_Report'!$A$9:$D$314,4,FALSE)*$D$315,0)</f>
        <v>2298828</v>
      </c>
      <c r="E282" s="213">
        <f>ROUND(VLOOKUP(A282,'Contribution Allocation_Report'!$A$9:$D$314,4,FALSE)*$E$315,0)</f>
        <v>1806863</v>
      </c>
      <c r="F282" s="8"/>
      <c r="J282" s="227">
        <v>2720</v>
      </c>
      <c r="K282" s="282">
        <f t="shared" si="4"/>
        <v>0</v>
      </c>
    </row>
    <row r="283" spans="1:11">
      <c r="A283" s="195">
        <v>2750</v>
      </c>
      <c r="B283" s="196" t="s">
        <v>265</v>
      </c>
      <c r="C283" s="214">
        <f>ROUND(VLOOKUP(A283,'Contribution Allocation_Report'!$A$9:$D$314,4,FALSE)*$C$315,0)</f>
        <v>176546</v>
      </c>
      <c r="D283" s="214">
        <f>ROUND(VLOOKUP(A283,'Contribution Allocation_Report'!$A$9:$D$314,4,FALSE)*$D$315,0)</f>
        <v>139997</v>
      </c>
      <c r="E283" s="214">
        <f>ROUND(VLOOKUP(A283,'Contribution Allocation_Report'!$A$9:$D$314,4,FALSE)*$E$315,0)</f>
        <v>110037</v>
      </c>
      <c r="F283" s="8"/>
      <c r="J283" s="59">
        <v>2750</v>
      </c>
      <c r="K283" s="282">
        <f t="shared" si="4"/>
        <v>0</v>
      </c>
    </row>
    <row r="284" spans="1:11">
      <c r="A284" s="193">
        <v>2770</v>
      </c>
      <c r="B284" s="194" t="s">
        <v>266</v>
      </c>
      <c r="C284" s="213">
        <f>ROUND(VLOOKUP(A284,'Contribution Allocation_Report'!$A$9:$D$314,4,FALSE)*$C$315,0)</f>
        <v>2542294</v>
      </c>
      <c r="D284" s="213">
        <f>ROUND(VLOOKUP(A284,'Contribution Allocation_Report'!$A$9:$D$314,4,FALSE)*$D$315,0)</f>
        <v>2015989</v>
      </c>
      <c r="E284" s="213">
        <f>ROUND(VLOOKUP(A284,'Contribution Allocation_Report'!$A$9:$D$314,4,FALSE)*$E$315,0)</f>
        <v>1584554</v>
      </c>
      <c r="F284" s="8"/>
      <c r="J284" s="227">
        <v>2770</v>
      </c>
      <c r="K284" s="282">
        <f t="shared" si="4"/>
        <v>0</v>
      </c>
    </row>
    <row r="285" spans="1:11">
      <c r="A285" s="195">
        <v>32106</v>
      </c>
      <c r="B285" s="196" t="s">
        <v>267</v>
      </c>
      <c r="C285" s="214">
        <f>ROUND(VLOOKUP(A285,'Contribution Allocation_Report'!$A$9:$D$314,4,FALSE)*$C$315,0)</f>
        <v>137207</v>
      </c>
      <c r="D285" s="214">
        <f>ROUND(VLOOKUP(A285,'Contribution Allocation_Report'!$A$9:$D$314,4,FALSE)*$D$315,0)</f>
        <v>108803</v>
      </c>
      <c r="E285" s="214">
        <f>ROUND(VLOOKUP(A285,'Contribution Allocation_Report'!$A$9:$D$314,4,FALSE)*$E$315,0)</f>
        <v>85518</v>
      </c>
      <c r="F285" s="8"/>
      <c r="J285" s="59">
        <v>32106</v>
      </c>
      <c r="K285" s="282">
        <f t="shared" si="4"/>
        <v>0</v>
      </c>
    </row>
    <row r="286" spans="1:11">
      <c r="A286" s="193">
        <v>4180</v>
      </c>
      <c r="B286" s="194" t="s">
        <v>268</v>
      </c>
      <c r="C286" s="213">
        <f>ROUND(VLOOKUP(A286,'Contribution Allocation_Report'!$A$9:$D$314,4,FALSE)*$C$315,0)</f>
        <v>267805</v>
      </c>
      <c r="D286" s="213">
        <f>ROUND(VLOOKUP(A286,'Contribution Allocation_Report'!$A$9:$D$314,4,FALSE)*$D$315,0)</f>
        <v>212364</v>
      </c>
      <c r="E286" s="213">
        <f>ROUND(VLOOKUP(A286,'Contribution Allocation_Report'!$A$9:$D$314,4,FALSE)*$E$315,0)</f>
        <v>166917</v>
      </c>
      <c r="F286" s="8"/>
      <c r="J286" s="227">
        <v>4180</v>
      </c>
      <c r="K286" s="282">
        <f t="shared" si="4"/>
        <v>0</v>
      </c>
    </row>
    <row r="287" spans="1:11">
      <c r="A287" s="195">
        <v>21063</v>
      </c>
      <c r="B287" s="196" t="s">
        <v>269</v>
      </c>
      <c r="C287" s="214">
        <f>ROUND(VLOOKUP(A287,'Contribution Allocation_Report'!$A$9:$D$314,4,FALSE)*$C$315,0)</f>
        <v>4449943</v>
      </c>
      <c r="D287" s="214">
        <f>ROUND(VLOOKUP(A287,'Contribution Allocation_Report'!$A$9:$D$314,4,FALSE)*$D$315,0)</f>
        <v>3528716</v>
      </c>
      <c r="E287" s="214">
        <f>ROUND(VLOOKUP(A287,'Contribution Allocation_Report'!$A$9:$D$314,4,FALSE)*$E$315,0)</f>
        <v>2773547</v>
      </c>
      <c r="F287" s="8"/>
      <c r="J287" s="59">
        <v>21063</v>
      </c>
      <c r="K287" s="282">
        <f t="shared" si="4"/>
        <v>0</v>
      </c>
    </row>
    <row r="288" spans="1:11">
      <c r="A288" s="193">
        <v>10033</v>
      </c>
      <c r="B288" s="194" t="s">
        <v>270</v>
      </c>
      <c r="C288" s="213">
        <f>ROUND(VLOOKUP(A288,'Contribution Allocation_Report'!$A$9:$D$314,4,FALSE)*$C$315,0)</f>
        <v>2785959</v>
      </c>
      <c r="D288" s="213">
        <f>ROUND(VLOOKUP(A288,'Contribution Allocation_Report'!$A$9:$D$314,4,FALSE)*$D$315,0)</f>
        <v>2209210</v>
      </c>
      <c r="E288" s="213">
        <f>ROUND(VLOOKUP(A288,'Contribution Allocation_Report'!$A$9:$D$314,4,FALSE)*$E$315,0)</f>
        <v>1736424</v>
      </c>
      <c r="F288" s="8"/>
      <c r="J288" s="227">
        <v>10033</v>
      </c>
      <c r="K288" s="282">
        <f t="shared" si="4"/>
        <v>0</v>
      </c>
    </row>
    <row r="289" spans="1:11">
      <c r="A289" s="195">
        <v>15049</v>
      </c>
      <c r="B289" s="196" t="s">
        <v>271</v>
      </c>
      <c r="C289" s="214">
        <f>ROUND(VLOOKUP(A289,'Contribution Allocation_Report'!$A$9:$D$314,4,FALSE)*$C$315,0)</f>
        <v>3400883</v>
      </c>
      <c r="D289" s="214">
        <f>ROUND(VLOOKUP(A289,'Contribution Allocation_Report'!$A$9:$D$314,4,FALSE)*$D$315,0)</f>
        <v>2696832</v>
      </c>
      <c r="E289" s="214">
        <f>ROUND(VLOOKUP(A289,'Contribution Allocation_Report'!$A$9:$D$314,4,FALSE)*$E$315,0)</f>
        <v>2119692</v>
      </c>
      <c r="F289" s="8"/>
      <c r="J289" s="59">
        <v>15049</v>
      </c>
      <c r="K289" s="282">
        <f t="shared" si="4"/>
        <v>0</v>
      </c>
    </row>
    <row r="290" spans="1:11">
      <c r="A290" s="193">
        <v>1315</v>
      </c>
      <c r="B290" s="194" t="s">
        <v>272</v>
      </c>
      <c r="C290" s="213">
        <f>ROUND(VLOOKUP(A290,'Contribution Allocation_Report'!$A$9:$D$314,4,FALSE)*$C$315,0)</f>
        <v>1851999</v>
      </c>
      <c r="D290" s="213">
        <f>ROUND(VLOOKUP(A290,'Contribution Allocation_Report'!$A$9:$D$314,4,FALSE)*$D$315,0)</f>
        <v>1468598</v>
      </c>
      <c r="E290" s="213">
        <f>ROUND(VLOOKUP(A290,'Contribution Allocation_Report'!$A$9:$D$314,4,FALSE)*$E$315,0)</f>
        <v>1154308</v>
      </c>
      <c r="F290" s="8"/>
      <c r="J290" s="227">
        <v>1315</v>
      </c>
      <c r="K290" s="282">
        <f t="shared" si="4"/>
        <v>0</v>
      </c>
    </row>
    <row r="291" spans="1:11">
      <c r="A291" s="195">
        <v>3340</v>
      </c>
      <c r="B291" s="196" t="s">
        <v>273</v>
      </c>
      <c r="C291" s="214">
        <f>ROUND(VLOOKUP(A291,'Contribution Allocation_Report'!$A$9:$D$314,4,FALSE)*$C$315,0)</f>
        <v>596916</v>
      </c>
      <c r="D291" s="214">
        <f>ROUND(VLOOKUP(A291,'Contribution Allocation_Report'!$A$9:$D$314,4,FALSE)*$D$315,0)</f>
        <v>473342</v>
      </c>
      <c r="E291" s="214">
        <f>ROUND(VLOOKUP(A291,'Contribution Allocation_Report'!$A$9:$D$314,4,FALSE)*$E$315,0)</f>
        <v>372044</v>
      </c>
      <c r="F291" s="8"/>
      <c r="J291" s="59">
        <v>3340</v>
      </c>
      <c r="K291" s="282">
        <f t="shared" si="4"/>
        <v>0</v>
      </c>
    </row>
    <row r="292" spans="1:11">
      <c r="A292" s="195">
        <v>3350</v>
      </c>
      <c r="B292" s="223" t="s">
        <v>274</v>
      </c>
      <c r="C292" s="238">
        <f>ROUND(VLOOKUP(A292,'Contribution Allocation_Report'!$A$9:$D$314,4,FALSE)*$C$315,0)</f>
        <v>4735102</v>
      </c>
      <c r="D292" s="238">
        <f>ROUND(VLOOKUP(A292,'Contribution Allocation_Report'!$A$9:$D$314,4,FALSE)*$D$315,0)</f>
        <v>3754842</v>
      </c>
      <c r="E292" s="238">
        <f>ROUND(VLOOKUP(A292,'Contribution Allocation_Report'!$A$9:$D$314,4,FALSE)*$E$315,0)</f>
        <v>2951280</v>
      </c>
      <c r="F292" s="8"/>
      <c r="J292" s="227">
        <v>3350</v>
      </c>
      <c r="K292" s="282">
        <f t="shared" si="4"/>
        <v>0</v>
      </c>
    </row>
    <row r="293" spans="1:11">
      <c r="A293" s="193">
        <v>24073</v>
      </c>
      <c r="B293" s="194" t="s">
        <v>275</v>
      </c>
      <c r="C293" s="213">
        <f>ROUND(VLOOKUP(A293,'Contribution Allocation_Report'!$A$9:$D$314,4,FALSE)*$C$315,0)</f>
        <v>548582</v>
      </c>
      <c r="D293" s="213">
        <f>ROUND(VLOOKUP(A293,'Contribution Allocation_Report'!$A$9:$D$314,4,FALSE)*$D$315,0)</f>
        <v>435015</v>
      </c>
      <c r="E293" s="213">
        <f>ROUND(VLOOKUP(A293,'Contribution Allocation_Report'!$A$9:$D$314,4,FALSE)*$E$315,0)</f>
        <v>341919</v>
      </c>
      <c r="F293" s="8"/>
      <c r="J293" s="59">
        <v>24073</v>
      </c>
      <c r="K293" s="282">
        <f t="shared" si="4"/>
        <v>0</v>
      </c>
    </row>
    <row r="294" spans="1:11">
      <c r="A294" s="195">
        <v>2100</v>
      </c>
      <c r="B294" s="196" t="s">
        <v>276</v>
      </c>
      <c r="C294" s="214">
        <f>ROUND(VLOOKUP(A294,'Contribution Allocation_Report'!$A$9:$D$314,4,FALSE)*$C$315,0)</f>
        <v>520253</v>
      </c>
      <c r="D294" s="214">
        <f>ROUND(VLOOKUP(A294,'Contribution Allocation_Report'!$A$9:$D$314,4,FALSE)*$D$315,0)</f>
        <v>412550</v>
      </c>
      <c r="E294" s="214">
        <f>ROUND(VLOOKUP(A294,'Contribution Allocation_Report'!$A$9:$D$314,4,FALSE)*$E$315,0)</f>
        <v>324262</v>
      </c>
      <c r="F294" s="8"/>
      <c r="J294" s="227">
        <v>2100</v>
      </c>
      <c r="K294" s="282">
        <f t="shared" si="4"/>
        <v>0</v>
      </c>
    </row>
    <row r="295" spans="1:11">
      <c r="A295" s="193">
        <v>2130</v>
      </c>
      <c r="B295" s="194" t="s">
        <v>277</v>
      </c>
      <c r="C295" s="213">
        <f>ROUND(VLOOKUP(A295,'Contribution Allocation_Report'!$A$9:$D$314,4,FALSE)*$C$315,0)</f>
        <v>167904</v>
      </c>
      <c r="D295" s="213">
        <f>ROUND(VLOOKUP(A295,'Contribution Allocation_Report'!$A$9:$D$314,4,FALSE)*$D$315,0)</f>
        <v>133145</v>
      </c>
      <c r="E295" s="213">
        <f>ROUND(VLOOKUP(A295,'Contribution Allocation_Report'!$A$9:$D$314,4,FALSE)*$E$315,0)</f>
        <v>104651</v>
      </c>
      <c r="F295" s="8"/>
      <c r="J295" s="59">
        <v>2130</v>
      </c>
      <c r="K295" s="282">
        <f t="shared" si="4"/>
        <v>0</v>
      </c>
    </row>
    <row r="296" spans="1:11">
      <c r="A296" s="195">
        <v>32099</v>
      </c>
      <c r="B296" s="196" t="s">
        <v>278</v>
      </c>
      <c r="C296" s="214">
        <f>ROUND(VLOOKUP(A296,'Contribution Allocation_Report'!$A$9:$D$314,4,FALSE)*$C$315,0)</f>
        <v>211625</v>
      </c>
      <c r="D296" s="214">
        <f>ROUND(VLOOKUP(A296,'Contribution Allocation_Report'!$A$9:$D$314,4,FALSE)*$D$315,0)</f>
        <v>167815</v>
      </c>
      <c r="E296" s="214">
        <f>ROUND(VLOOKUP(A296,'Contribution Allocation_Report'!$A$9:$D$314,4,FALSE)*$E$315,0)</f>
        <v>131901</v>
      </c>
      <c r="F296" s="8"/>
      <c r="J296" s="227">
        <v>32099</v>
      </c>
      <c r="K296" s="282">
        <f t="shared" si="4"/>
        <v>0</v>
      </c>
    </row>
    <row r="297" spans="1:11">
      <c r="A297" s="193">
        <v>32100</v>
      </c>
      <c r="B297" s="194" t="s">
        <v>279</v>
      </c>
      <c r="C297" s="213">
        <f>ROUND(VLOOKUP(A297,'Contribution Allocation_Report'!$A$9:$D$314,4,FALSE)*$C$315,0)</f>
        <v>404429</v>
      </c>
      <c r="D297" s="213">
        <f>ROUND(VLOOKUP(A297,'Contribution Allocation_Report'!$A$9:$D$314,4,FALSE)*$D$315,0)</f>
        <v>320704</v>
      </c>
      <c r="E297" s="213">
        <f>ROUND(VLOOKUP(A297,'Contribution Allocation_Report'!$A$9:$D$314,4,FALSE)*$E$315,0)</f>
        <v>252072</v>
      </c>
      <c r="F297" s="8"/>
      <c r="J297" s="59">
        <v>32100</v>
      </c>
      <c r="K297" s="282">
        <f t="shared" si="4"/>
        <v>0</v>
      </c>
    </row>
    <row r="298" spans="1:11">
      <c r="A298" s="195">
        <v>32101</v>
      </c>
      <c r="B298" s="196" t="s">
        <v>280</v>
      </c>
      <c r="C298" s="214">
        <f>ROUND(VLOOKUP(A298,'Contribution Allocation_Report'!$A$9:$D$314,4,FALSE)*$C$315,0)</f>
        <v>143569</v>
      </c>
      <c r="D298" s="214">
        <f>ROUND(VLOOKUP(A298,'Contribution Allocation_Report'!$A$9:$D$314,4,FALSE)*$D$315,0)</f>
        <v>113848</v>
      </c>
      <c r="E298" s="214">
        <f>ROUND(VLOOKUP(A298,'Contribution Allocation_Report'!$A$9:$D$314,4,FALSE)*$E$315,0)</f>
        <v>89483</v>
      </c>
      <c r="F298" s="8"/>
      <c r="J298" s="227">
        <v>32101</v>
      </c>
      <c r="K298" s="282">
        <f t="shared" si="4"/>
        <v>0</v>
      </c>
    </row>
    <row r="299" spans="1:11">
      <c r="A299" s="193">
        <v>32102</v>
      </c>
      <c r="B299" s="194" t="s">
        <v>281</v>
      </c>
      <c r="C299" s="213">
        <f>ROUND(VLOOKUP(A299,'Contribution Allocation_Report'!$A$9:$D$314,4,FALSE)*$C$315,0)</f>
        <v>233910</v>
      </c>
      <c r="D299" s="213">
        <f>ROUND(VLOOKUP(A299,'Contribution Allocation_Report'!$A$9:$D$314,4,FALSE)*$D$315,0)</f>
        <v>185486</v>
      </c>
      <c r="E299" s="213">
        <f>ROUND(VLOOKUP(A299,'Contribution Allocation_Report'!$A$9:$D$314,4,FALSE)*$E$315,0)</f>
        <v>145791</v>
      </c>
      <c r="F299" s="8"/>
      <c r="J299" s="59">
        <v>32102</v>
      </c>
      <c r="K299" s="282">
        <f t="shared" si="4"/>
        <v>0</v>
      </c>
    </row>
    <row r="300" spans="1:11">
      <c r="A300" s="195">
        <v>2880</v>
      </c>
      <c r="B300" s="196" t="s">
        <v>282</v>
      </c>
      <c r="C300" s="214">
        <f>ROUND(VLOOKUP(A300,'Contribution Allocation_Report'!$A$9:$D$314,4,FALSE)*$C$315,0)</f>
        <v>80992</v>
      </c>
      <c r="D300" s="214">
        <f>ROUND(VLOOKUP(A300,'Contribution Allocation_Report'!$A$9:$D$314,4,FALSE)*$D$315,0)</f>
        <v>64225</v>
      </c>
      <c r="E300" s="214">
        <f>ROUND(VLOOKUP(A300,'Contribution Allocation_Report'!$A$9:$D$314,4,FALSE)*$E$315,0)</f>
        <v>50480</v>
      </c>
      <c r="F300" s="8"/>
      <c r="J300" s="227">
        <v>2880</v>
      </c>
      <c r="K300" s="282">
        <f t="shared" si="4"/>
        <v>0</v>
      </c>
    </row>
    <row r="301" spans="1:11">
      <c r="A301" s="193">
        <v>2490</v>
      </c>
      <c r="B301" s="194" t="s">
        <v>283</v>
      </c>
      <c r="C301" s="213">
        <f>ROUND(VLOOKUP(A301,'Contribution Allocation_Report'!$A$9:$D$314,4,FALSE)*$C$315,0)</f>
        <v>661278</v>
      </c>
      <c r="D301" s="213">
        <f>ROUND(VLOOKUP(A301,'Contribution Allocation_Report'!$A$9:$D$314,4,FALSE)*$D$315,0)</f>
        <v>524380</v>
      </c>
      <c r="E301" s="213">
        <f>ROUND(VLOOKUP(A301,'Contribution Allocation_Report'!$A$9:$D$314,4,FALSE)*$E$315,0)</f>
        <v>412159</v>
      </c>
      <c r="F301" s="8"/>
      <c r="J301" s="59">
        <v>2490</v>
      </c>
      <c r="K301" s="282">
        <f t="shared" si="4"/>
        <v>0</v>
      </c>
    </row>
    <row r="302" spans="1:11">
      <c r="A302" s="195">
        <v>2530</v>
      </c>
      <c r="B302" s="196" t="s">
        <v>284</v>
      </c>
      <c r="C302" s="214">
        <f>ROUND(VLOOKUP(A302,'Contribution Allocation_Report'!$A$9:$D$314,4,FALSE)*$C$315,0)</f>
        <v>124713</v>
      </c>
      <c r="D302" s="214">
        <f>ROUND(VLOOKUP(A302,'Contribution Allocation_Report'!$A$9:$D$314,4,FALSE)*$D$315,0)</f>
        <v>98895</v>
      </c>
      <c r="E302" s="214">
        <f>ROUND(VLOOKUP(A302,'Contribution Allocation_Report'!$A$9:$D$314,4,FALSE)*$E$315,0)</f>
        <v>77731</v>
      </c>
      <c r="F302" s="8"/>
      <c r="J302" s="227">
        <v>2530</v>
      </c>
      <c r="K302" s="282">
        <f t="shared" si="4"/>
        <v>0</v>
      </c>
    </row>
    <row r="303" spans="1:11">
      <c r="A303" s="193">
        <v>2560</v>
      </c>
      <c r="B303" s="194" t="s">
        <v>285</v>
      </c>
      <c r="C303" s="213">
        <f>ROUND(VLOOKUP(A303,'Contribution Allocation_Report'!$A$9:$D$314,4,FALSE)*$C$315,0)</f>
        <v>350352</v>
      </c>
      <c r="D303" s="213">
        <f>ROUND(VLOOKUP(A303,'Contribution Allocation_Report'!$A$9:$D$314,4,FALSE)*$D$315,0)</f>
        <v>277822</v>
      </c>
      <c r="E303" s="213">
        <f>ROUND(VLOOKUP(A303,'Contribution Allocation_Report'!$A$9:$D$314,4,FALSE)*$E$315,0)</f>
        <v>218367</v>
      </c>
      <c r="F303" s="8"/>
      <c r="J303" s="59">
        <v>2560</v>
      </c>
      <c r="K303" s="282">
        <f t="shared" si="4"/>
        <v>0</v>
      </c>
    </row>
    <row r="304" spans="1:11">
      <c r="A304" s="195">
        <v>2610</v>
      </c>
      <c r="B304" s="196" t="s">
        <v>286</v>
      </c>
      <c r="C304" s="214">
        <f>ROUND(VLOOKUP(A304,'Contribution Allocation_Report'!$A$9:$D$314,4,FALSE)*$C$315,0)</f>
        <v>69929</v>
      </c>
      <c r="D304" s="214">
        <f>ROUND(VLOOKUP(A304,'Contribution Allocation_Report'!$A$9:$D$314,4,FALSE)*$D$315,0)</f>
        <v>55452</v>
      </c>
      <c r="E304" s="214">
        <f>ROUND(VLOOKUP(A304,'Contribution Allocation_Report'!$A$9:$D$314,4,FALSE)*$E$315,0)</f>
        <v>43585</v>
      </c>
      <c r="F304" s="8"/>
      <c r="J304" s="227">
        <v>2610</v>
      </c>
      <c r="K304" s="282">
        <f t="shared" si="4"/>
        <v>0</v>
      </c>
    </row>
    <row r="305" spans="1:11">
      <c r="A305" s="193">
        <v>2800</v>
      </c>
      <c r="B305" s="194" t="s">
        <v>287</v>
      </c>
      <c r="C305" s="213">
        <f>ROUND(VLOOKUP(A305,'Contribution Allocation_Report'!$A$9:$D$314,4,FALSE)*$C$315,0)</f>
        <v>209257</v>
      </c>
      <c r="D305" s="213">
        <f>ROUND(VLOOKUP(A305,'Contribution Allocation_Report'!$A$9:$D$314,4,FALSE)*$D$315,0)</f>
        <v>165937</v>
      </c>
      <c r="E305" s="213">
        <f>ROUND(VLOOKUP(A305,'Contribution Allocation_Report'!$A$9:$D$314,4,FALSE)*$E$315,0)</f>
        <v>130425</v>
      </c>
      <c r="F305" s="8"/>
      <c r="J305" s="59">
        <v>2800</v>
      </c>
      <c r="K305" s="282">
        <f t="shared" si="4"/>
        <v>0</v>
      </c>
    </row>
    <row r="306" spans="1:11">
      <c r="A306" s="195">
        <v>20317</v>
      </c>
      <c r="B306" s="196" t="s">
        <v>288</v>
      </c>
      <c r="C306" s="214">
        <f>ROUND(VLOOKUP(A306,'Contribution Allocation_Report'!$A$9:$D$314,4,FALSE)*$C$315,0)</f>
        <v>348426</v>
      </c>
      <c r="D306" s="214">
        <f>ROUND(VLOOKUP(A306,'Contribution Allocation_Report'!$A$9:$D$314,4,FALSE)*$D$315,0)</f>
        <v>276295</v>
      </c>
      <c r="E306" s="214">
        <f>ROUND(VLOOKUP(A306,'Contribution Allocation_Report'!$A$9:$D$314,4,FALSE)*$E$315,0)</f>
        <v>217166</v>
      </c>
      <c r="F306" s="8"/>
      <c r="J306" s="227">
        <v>20317</v>
      </c>
      <c r="K306" s="282">
        <f t="shared" si="4"/>
        <v>0</v>
      </c>
    </row>
    <row r="307" spans="1:11" s="190" customFormat="1">
      <c r="A307" s="193">
        <v>2442</v>
      </c>
      <c r="B307" s="194" t="s">
        <v>426</v>
      </c>
      <c r="C307" s="213">
        <f>ROUND(VLOOKUP(A307,'Contribution Allocation_Report'!$A$9:$D$314,4,FALSE)*$C$315,0)</f>
        <v>323826</v>
      </c>
      <c r="D307" s="213">
        <f>ROUND(VLOOKUP(A307,'Contribution Allocation_Report'!$A$9:$D$314,4,FALSE)*$D$315,0)</f>
        <v>256788</v>
      </c>
      <c r="E307" s="213">
        <f>ROUND(VLOOKUP(A307,'Contribution Allocation_Report'!$A$9:$D$314,4,FALSE)*$E$315,0)</f>
        <v>201833</v>
      </c>
      <c r="F307" s="192"/>
      <c r="J307" s="59">
        <v>2442</v>
      </c>
      <c r="K307" s="282">
        <f t="shared" si="4"/>
        <v>0</v>
      </c>
    </row>
    <row r="308" spans="1:11">
      <c r="A308" s="195">
        <v>30090</v>
      </c>
      <c r="B308" s="196" t="s">
        <v>289</v>
      </c>
      <c r="C308" s="214">
        <f>ROUND(VLOOKUP(A308,'Contribution Allocation_Report'!$A$9:$D$314,4,FALSE)*$C$315,0)</f>
        <v>628991</v>
      </c>
      <c r="D308" s="214">
        <f>ROUND(VLOOKUP(A308,'Contribution Allocation_Report'!$A$9:$D$314,4,FALSE)*$D$315,0)</f>
        <v>498777</v>
      </c>
      <c r="E308" s="214">
        <f>ROUND(VLOOKUP(A308,'Contribution Allocation_Report'!$A$9:$D$314,4,FALSE)*$E$315,0)</f>
        <v>392035</v>
      </c>
      <c r="F308" s="8"/>
      <c r="J308" s="227">
        <v>30090</v>
      </c>
      <c r="K308" s="282">
        <f t="shared" si="4"/>
        <v>0</v>
      </c>
    </row>
    <row r="309" spans="1:11">
      <c r="A309" s="193">
        <v>29330</v>
      </c>
      <c r="B309" s="194" t="s">
        <v>290</v>
      </c>
      <c r="C309" s="213">
        <f>ROUND(VLOOKUP(A309,'Contribution Allocation_Report'!$A$9:$D$314,4,FALSE)*$C$315,0)</f>
        <v>314919</v>
      </c>
      <c r="D309" s="213">
        <f>ROUND(VLOOKUP(A309,'Contribution Allocation_Report'!$A$9:$D$314,4,FALSE)*$D$315,0)</f>
        <v>249725</v>
      </c>
      <c r="E309" s="213">
        <f>ROUND(VLOOKUP(A309,'Contribution Allocation_Report'!$A$9:$D$314,4,FALSE)*$E$315,0)</f>
        <v>196282</v>
      </c>
      <c r="F309" s="8"/>
      <c r="J309" s="59">
        <v>29330</v>
      </c>
      <c r="K309" s="282">
        <f t="shared" si="4"/>
        <v>0</v>
      </c>
    </row>
    <row r="310" spans="1:11" s="161" customFormat="1">
      <c r="A310" s="195">
        <v>12038</v>
      </c>
      <c r="B310" s="196" t="s">
        <v>291</v>
      </c>
      <c r="C310" s="214">
        <f>ROUND(VLOOKUP(A310,'Contribution Allocation_Report'!$A$9:$D$314,4,FALSE)*$C$315,0)</f>
        <v>5328165</v>
      </c>
      <c r="D310" s="214">
        <f>ROUND(VLOOKUP(A310,'Contribution Allocation_Report'!$A$9:$D$314,4,FALSE)*$D$315,0)</f>
        <v>4225129</v>
      </c>
      <c r="E310" s="214">
        <f>ROUND(VLOOKUP(A310,'Contribution Allocation_Report'!$A$9:$D$314,4,FALSE)*$E$315,0)</f>
        <v>3320923</v>
      </c>
      <c r="F310" s="162"/>
      <c r="J310" s="227">
        <v>12038</v>
      </c>
      <c r="K310" s="282">
        <f t="shared" si="4"/>
        <v>0</v>
      </c>
    </row>
    <row r="311" spans="1:11" s="161" customFormat="1">
      <c r="A311" s="193">
        <v>8099</v>
      </c>
      <c r="B311" s="194" t="s">
        <v>292</v>
      </c>
      <c r="C311" s="213">
        <f>ROUND(VLOOKUP(A311,'Contribution Allocation_Report'!$A$9:$D$314,4,FALSE)*$C$315,0)</f>
        <v>9491924</v>
      </c>
      <c r="D311" s="213">
        <f>ROUND(VLOOKUP(A311,'Contribution Allocation_Report'!$A$9:$D$314,4,FALSE)*$D$315,0)</f>
        <v>7526906</v>
      </c>
      <c r="E311" s="213">
        <f>ROUND(VLOOKUP(A311,'Contribution Allocation_Report'!$A$9:$D$314,4,FALSE)*$E$315,0)</f>
        <v>5916098</v>
      </c>
      <c r="F311" s="162"/>
      <c r="J311" s="59">
        <v>8099</v>
      </c>
      <c r="K311" s="282">
        <f t="shared" si="4"/>
        <v>0</v>
      </c>
    </row>
    <row r="312" spans="1:11" s="161" customFormat="1">
      <c r="A312" s="195">
        <v>2417</v>
      </c>
      <c r="B312" s="196" t="s">
        <v>293</v>
      </c>
      <c r="C312" s="214">
        <f>ROUND(VLOOKUP(A312,'Contribution Allocation_Report'!$A$9:$D$314,4,FALSE)*$C$315,0)</f>
        <v>185187</v>
      </c>
      <c r="D312" s="214">
        <f>ROUND(VLOOKUP(A312,'Contribution Allocation_Report'!$A$9:$D$314,4,FALSE)*$D$315,0)</f>
        <v>146850</v>
      </c>
      <c r="E312" s="214">
        <f>ROUND(VLOOKUP(A312,'Contribution Allocation_Report'!$A$9:$D$314,4,FALSE)*$E$315,0)</f>
        <v>115423</v>
      </c>
      <c r="F312" s="162"/>
      <c r="J312" s="227">
        <v>2417</v>
      </c>
      <c r="K312" s="282">
        <f t="shared" si="4"/>
        <v>0</v>
      </c>
    </row>
    <row r="313" spans="1:11" s="161" customFormat="1">
      <c r="A313" s="193">
        <v>13142</v>
      </c>
      <c r="B313" s="194" t="s">
        <v>294</v>
      </c>
      <c r="C313" s="188">
        <f>ROUND(VLOOKUP(A313,'Contribution Allocation_Report'!$A$9:$D$314,4,FALSE)*$C$315,0)</f>
        <v>5804450</v>
      </c>
      <c r="D313" s="188">
        <f>ROUND(VLOOKUP(A313,'Contribution Allocation_Report'!$A$9:$D$314,4,FALSE)*$D$315,0)</f>
        <v>4602813</v>
      </c>
      <c r="E313" s="188">
        <f>ROUND(VLOOKUP(A313,'Contribution Allocation_Report'!$A$9:$D$314,4,FALSE)*$E$315,0)</f>
        <v>3617780</v>
      </c>
      <c r="F313" s="162"/>
      <c r="J313" s="59">
        <v>13142</v>
      </c>
      <c r="K313" s="282">
        <f t="shared" si="4"/>
        <v>0</v>
      </c>
    </row>
    <row r="314" spans="1:11">
      <c r="A314" s="3"/>
      <c r="B314" s="1"/>
      <c r="C314" s="4"/>
      <c r="D314" s="5"/>
      <c r="E314" s="1"/>
      <c r="F314" s="8"/>
    </row>
    <row r="315" spans="1:11" ht="15.75" thickBot="1">
      <c r="A315" s="3"/>
      <c r="B315" s="18"/>
      <c r="C315" s="83">
        <v>2250750304</v>
      </c>
      <c r="D315" s="83">
        <v>1784800039</v>
      </c>
      <c r="E315" s="83">
        <v>1402840927</v>
      </c>
      <c r="F315" s="8"/>
      <c r="J315" s="59"/>
      <c r="K315" s="282"/>
    </row>
    <row r="316" spans="1:11" s="161" customFormat="1" ht="15.75" thickTop="1">
      <c r="A316" s="32"/>
      <c r="B316" s="18"/>
      <c r="C316" s="89"/>
      <c r="D316" s="89"/>
      <c r="E316" s="89"/>
      <c r="F316" s="162"/>
      <c r="J316" s="227"/>
      <c r="K316" s="282"/>
    </row>
    <row r="317" spans="1:11" s="161" customFormat="1">
      <c r="A317" s="3"/>
      <c r="B317" s="18"/>
      <c r="C317" s="89"/>
      <c r="D317" s="89"/>
      <c r="E317" s="89"/>
      <c r="F317" s="162"/>
      <c r="J317" s="59"/>
      <c r="K317" s="282"/>
    </row>
    <row r="318" spans="1:11">
      <c r="A318" s="32"/>
      <c r="B318" s="32"/>
      <c r="C318" s="33"/>
      <c r="D318" s="33"/>
      <c r="E318" s="33"/>
      <c r="F318" s="8"/>
      <c r="J318" s="227"/>
      <c r="K318" s="282"/>
    </row>
    <row r="319" spans="1:11">
      <c r="A319" s="32"/>
      <c r="B319" s="32"/>
      <c r="C319" s="35"/>
      <c r="D319" s="35"/>
      <c r="E319" s="35"/>
      <c r="F319" s="8"/>
      <c r="J319" s="59"/>
      <c r="K319" s="282"/>
    </row>
    <row r="320" spans="1:11">
      <c r="C320" s="71">
        <f>+SUM(C8:C313)-C315</f>
        <v>0</v>
      </c>
      <c r="D320" s="71">
        <f>+SUM(D8:D313)-D315</f>
        <v>0</v>
      </c>
      <c r="E320" s="71">
        <f>+SUM(E8:E313)-E315</f>
        <v>0</v>
      </c>
      <c r="J320" s="227"/>
      <c r="K320" s="282"/>
    </row>
    <row r="321" spans="10:11">
      <c r="J321" s="59"/>
      <c r="K321" s="282"/>
    </row>
    <row r="322" spans="10:11">
      <c r="J322" s="227"/>
      <c r="K322" s="282"/>
    </row>
    <row r="323" spans="10:11">
      <c r="J323" s="59"/>
      <c r="K323" s="282"/>
    </row>
    <row r="324" spans="10:11">
      <c r="J324" s="59"/>
      <c r="K324" s="282"/>
    </row>
    <row r="326" spans="10:11">
      <c r="K326" s="282">
        <f t="shared" ref="K326" si="5">+A326-J326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29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8" max="4" man="1"/>
    <brk id="291" max="4" man="1"/>
  </rowBreaks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BF79-68D8-4476-B27F-06152E1A5D75}">
  <sheetPr>
    <tabColor rgb="FF92D050"/>
  </sheetPr>
  <dimension ref="A1:N326"/>
  <sheetViews>
    <sheetView view="pageBreakPreview" topLeftCell="A222" zoomScaleNormal="100" zoomScaleSheetLayoutView="100" workbookViewId="0">
      <selection activeCell="D567" sqref="D567"/>
    </sheetView>
  </sheetViews>
  <sheetFormatPr defaultRowHeight="15"/>
  <cols>
    <col min="1" max="1" width="13.5703125" style="327" customWidth="1"/>
    <col min="2" max="2" width="76.42578125" style="327" bestFit="1" customWidth="1"/>
    <col min="3" max="5" width="15.5703125" style="327" bestFit="1" customWidth="1"/>
    <col min="6" max="6" width="2" style="190" customWidth="1"/>
    <col min="7" max="16384" width="9.140625" style="190"/>
  </cols>
  <sheetData>
    <row r="1" spans="1:14" ht="18">
      <c r="A1" s="429" t="s">
        <v>381</v>
      </c>
      <c r="B1" s="429"/>
      <c r="C1" s="429"/>
      <c r="D1" s="429"/>
      <c r="E1" s="429"/>
    </row>
    <row r="2" spans="1:14" ht="15.75">
      <c r="A2" s="430" t="s">
        <v>463</v>
      </c>
      <c r="B2" s="430"/>
      <c r="C2" s="430"/>
      <c r="D2" s="430"/>
      <c r="E2" s="430"/>
    </row>
    <row r="3" spans="1:14" ht="15.75">
      <c r="A3" s="435" t="s">
        <v>504</v>
      </c>
      <c r="B3" s="430"/>
      <c r="C3" s="430"/>
      <c r="D3" s="430"/>
      <c r="E3" s="430"/>
    </row>
    <row r="5" spans="1:14" ht="59.1" customHeight="1">
      <c r="A5" s="43" t="s">
        <v>0</v>
      </c>
      <c r="B5" s="44" t="s">
        <v>1</v>
      </c>
      <c r="C5" s="43" t="s">
        <v>325</v>
      </c>
      <c r="D5" s="43" t="s">
        <v>442</v>
      </c>
      <c r="E5" s="43" t="s">
        <v>326</v>
      </c>
      <c r="F5" s="192"/>
    </row>
    <row r="6" spans="1:14">
      <c r="A6" s="197"/>
      <c r="B6" s="197"/>
      <c r="C6" s="197" t="s">
        <v>409</v>
      </c>
      <c r="D6" s="197" t="s">
        <v>415</v>
      </c>
      <c r="E6" s="197" t="s">
        <v>440</v>
      </c>
      <c r="F6" s="192"/>
    </row>
    <row r="7" spans="1:14">
      <c r="A7" s="197"/>
      <c r="B7" s="197"/>
      <c r="C7" s="197"/>
      <c r="D7" s="197"/>
      <c r="E7" s="197"/>
      <c r="F7" s="192"/>
    </row>
    <row r="8" spans="1:14">
      <c r="A8" s="195">
        <v>1341</v>
      </c>
      <c r="B8" s="223" t="s">
        <v>5</v>
      </c>
      <c r="C8" s="238">
        <f>ROUND(VLOOKUP(A8,'Contribution Allocation_Report'!$A$9:$D$314,4,FALSE)*$C$315,0)-9</f>
        <v>332252324</v>
      </c>
      <c r="D8" s="238">
        <f>ROUND(VLOOKUP(A8,'Contribution Allocation_Report'!$A$9:$D$311,4,FALSE)*$D$315,0)+1</f>
        <v>429939178</v>
      </c>
      <c r="E8" s="238">
        <f>ROUND(VLOOKUP(A8,'Contribution Allocation_Report'!$A$9:$D$311,4,FALSE)*$E$315,0)+8</f>
        <v>680811195</v>
      </c>
      <c r="F8" s="192"/>
      <c r="H8" s="329"/>
      <c r="J8" s="59">
        <v>1341</v>
      </c>
      <c r="K8" s="282">
        <f>+A8-J8</f>
        <v>0</v>
      </c>
      <c r="N8" s="87"/>
    </row>
    <row r="9" spans="1:14">
      <c r="A9" s="193">
        <v>2308</v>
      </c>
      <c r="B9" s="194" t="s">
        <v>6</v>
      </c>
      <c r="C9" s="213">
        <f>ROUND(VLOOKUP(A9,'Contribution Allocation_Report'!$A$9:$D$314,4,FALSE)*$C$315,0)</f>
        <v>631564</v>
      </c>
      <c r="D9" s="213">
        <f>ROUND(VLOOKUP(A9,'Contribution Allocation_Report'!$A$9:$D$314,4,FALSE)*$D$315,0)</f>
        <v>817253</v>
      </c>
      <c r="E9" s="213">
        <f>ROUND(VLOOKUP(A9,'Contribution Allocation_Report'!$A$9:$D$314,4,FALSE)*$E$315,0)</f>
        <v>1294125</v>
      </c>
      <c r="F9" s="192"/>
      <c r="H9" s="329"/>
      <c r="J9" s="227">
        <v>2308</v>
      </c>
      <c r="K9" s="282">
        <f t="shared" ref="K9:K73" si="0">+A9-J9</f>
        <v>0</v>
      </c>
    </row>
    <row r="10" spans="1:14">
      <c r="A10" s="195">
        <v>2340</v>
      </c>
      <c r="B10" s="196" t="s">
        <v>7</v>
      </c>
      <c r="C10" s="214">
        <f>ROUND(VLOOKUP(A10,'Contribution Allocation_Report'!$A$9:$D$314,4,FALSE)*$C$315,0)</f>
        <v>612060</v>
      </c>
      <c r="D10" s="214">
        <f>ROUND(VLOOKUP(A10,'Contribution Allocation_Report'!$A$9:$D$314,4,FALSE)*$D$315,0)</f>
        <v>792015</v>
      </c>
      <c r="E10" s="214">
        <f>ROUND(VLOOKUP(A10,'Contribution Allocation_Report'!$A$9:$D$314,4,FALSE)*$E$315,0)</f>
        <v>1254160</v>
      </c>
      <c r="F10" s="192"/>
      <c r="H10" s="329"/>
      <c r="J10" s="59">
        <v>2340</v>
      </c>
      <c r="K10" s="282">
        <f t="shared" si="0"/>
        <v>0</v>
      </c>
    </row>
    <row r="11" spans="1:14">
      <c r="A11" s="193">
        <v>1301</v>
      </c>
      <c r="B11" s="194" t="s">
        <v>8</v>
      </c>
      <c r="C11" s="213">
        <f>ROUND(VLOOKUP(A11,'Contribution Allocation_Report'!$A$9:$D$314,4,FALSE)*$C$315,0)</f>
        <v>706701</v>
      </c>
      <c r="D11" s="213">
        <f>ROUND(VLOOKUP(A11,'Contribution Allocation_Report'!$A$9:$D$314,4,FALSE)*$D$315,0)</f>
        <v>914481</v>
      </c>
      <c r="E11" s="213">
        <f>ROUND(VLOOKUP(A11,'Contribution Allocation_Report'!$A$9:$D$314,4,FALSE)*$E$315,0)</f>
        <v>1448085</v>
      </c>
      <c r="F11" s="192"/>
      <c r="H11" s="329"/>
      <c r="J11" s="227">
        <v>1301</v>
      </c>
      <c r="K11" s="282">
        <f t="shared" si="0"/>
        <v>0</v>
      </c>
    </row>
    <row r="12" spans="1:14">
      <c r="A12" s="195">
        <v>2390</v>
      </c>
      <c r="B12" s="196" t="s">
        <v>9</v>
      </c>
      <c r="C12" s="214">
        <f>ROUND(VLOOKUP(A12,'Contribution Allocation_Report'!$A$9:$D$314,4,FALSE)*$C$315,0)</f>
        <v>563067</v>
      </c>
      <c r="D12" s="214">
        <f>ROUND(VLOOKUP(A12,'Contribution Allocation_Report'!$A$9:$D$314,4,FALSE)*$D$315,0)</f>
        <v>728616</v>
      </c>
      <c r="E12" s="214">
        <f>ROUND(VLOOKUP(A12,'Contribution Allocation_Report'!$A$9:$D$314,4,FALSE)*$E$315,0)</f>
        <v>1153768</v>
      </c>
      <c r="F12" s="192"/>
      <c r="H12" s="329"/>
      <c r="J12" s="59">
        <v>2390</v>
      </c>
      <c r="K12" s="282">
        <f t="shared" si="0"/>
        <v>0</v>
      </c>
    </row>
    <row r="13" spans="1:14">
      <c r="A13" s="193">
        <v>2441</v>
      </c>
      <c r="B13" s="194" t="s">
        <v>419</v>
      </c>
      <c r="C13" s="213">
        <f>ROUND(VLOOKUP(A13,'Contribution Allocation_Report'!$A$9:$D$314,4,FALSE)*$C$315,0)</f>
        <v>259555</v>
      </c>
      <c r="D13" s="213">
        <f>ROUND(VLOOKUP(A13,'Contribution Allocation_Report'!$A$9:$D$314,4,FALSE)*$D$315,0)</f>
        <v>335867</v>
      </c>
      <c r="E13" s="213">
        <f>ROUND(VLOOKUP(A13,'Contribution Allocation_Report'!$A$9:$D$314,4,FALSE)*$E$315,0)</f>
        <v>531848</v>
      </c>
      <c r="F13" s="192"/>
      <c r="H13" s="329"/>
      <c r="J13" s="227">
        <v>2441</v>
      </c>
      <c r="K13" s="282">
        <f t="shared" si="0"/>
        <v>0</v>
      </c>
    </row>
    <row r="14" spans="1:14">
      <c r="A14" s="195">
        <v>15046</v>
      </c>
      <c r="B14" s="196" t="s">
        <v>10</v>
      </c>
      <c r="C14" s="214">
        <f>ROUND(VLOOKUP(A14,'Contribution Allocation_Report'!$A$9:$D$314,4,FALSE)*$C$315,0)</f>
        <v>10412995</v>
      </c>
      <c r="D14" s="214">
        <f>ROUND(VLOOKUP(A14,'Contribution Allocation_Report'!$A$9:$D$314,4,FALSE)*$D$315,0)</f>
        <v>13474561</v>
      </c>
      <c r="E14" s="214">
        <f>ROUND(VLOOKUP(A14,'Contribution Allocation_Report'!$A$9:$D$314,4,FALSE)*$E$315,0)</f>
        <v>21337046</v>
      </c>
      <c r="F14" s="192"/>
      <c r="J14" s="59">
        <v>15046</v>
      </c>
      <c r="K14" s="282">
        <f t="shared" si="0"/>
        <v>0</v>
      </c>
    </row>
    <row r="15" spans="1:14">
      <c r="A15" s="193">
        <v>4380</v>
      </c>
      <c r="B15" s="194" t="s">
        <v>11</v>
      </c>
      <c r="C15" s="213">
        <f>ROUND(VLOOKUP(A15,'Contribution Allocation_Report'!$A$9:$D$314,4,FALSE)*$C$315,0)</f>
        <v>8532662</v>
      </c>
      <c r="D15" s="213">
        <f>ROUND(VLOOKUP(A15,'Contribution Allocation_Report'!$A$9:$D$314,4,FALSE)*$D$315,0)</f>
        <v>11041384</v>
      </c>
      <c r="E15" s="213">
        <f>ROUND(VLOOKUP(A15,'Contribution Allocation_Report'!$A$9:$D$314,4,FALSE)*$E$315,0)</f>
        <v>17484095</v>
      </c>
      <c r="F15" s="192"/>
      <c r="J15" s="227">
        <v>4380</v>
      </c>
      <c r="K15" s="282">
        <f t="shared" si="0"/>
        <v>0</v>
      </c>
    </row>
    <row r="16" spans="1:14">
      <c r="A16" s="195">
        <v>2343</v>
      </c>
      <c r="B16" s="210" t="s">
        <v>420</v>
      </c>
      <c r="C16" s="214">
        <f>ROUND(VLOOKUP(A16,'Contribution Allocation_Report'!$A$9:$D$314,4,FALSE)*$C$315,0)</f>
        <v>822719</v>
      </c>
      <c r="D16" s="214">
        <f>ROUND(VLOOKUP(A16,'Contribution Allocation_Report'!$A$9:$D$314,4,FALSE)*$D$315,0)</f>
        <v>1064610</v>
      </c>
      <c r="E16" s="214">
        <f>ROUND(VLOOKUP(A16,'Contribution Allocation_Report'!$A$9:$D$314,4,FALSE)*$E$315,0)</f>
        <v>1685816</v>
      </c>
      <c r="F16" s="192"/>
      <c r="J16" s="59">
        <v>2343</v>
      </c>
      <c r="K16" s="282">
        <f t="shared" si="0"/>
        <v>0</v>
      </c>
    </row>
    <row r="17" spans="1:11">
      <c r="A17" s="193">
        <v>2435</v>
      </c>
      <c r="B17" s="194" t="s">
        <v>396</v>
      </c>
      <c r="C17" s="213">
        <f>ROUND(VLOOKUP(A17,'Contribution Allocation_Report'!$A$9:$D$314,4,FALSE)*$C$315,0)</f>
        <v>326504</v>
      </c>
      <c r="D17" s="213">
        <f>ROUND(VLOOKUP(A17,'Contribution Allocation_Report'!$A$9:$D$314,4,FALSE)*$D$315,0)</f>
        <v>422500</v>
      </c>
      <c r="E17" s="213">
        <f>ROUND(VLOOKUP(A17,'Contribution Allocation_Report'!$A$9:$D$314,4,FALSE)*$E$315,0)</f>
        <v>669032</v>
      </c>
      <c r="F17" s="192"/>
      <c r="J17" s="227">
        <v>2435</v>
      </c>
      <c r="K17" s="282">
        <f t="shared" si="0"/>
        <v>0</v>
      </c>
    </row>
    <row r="18" spans="1:11">
      <c r="A18" s="195">
        <v>4560</v>
      </c>
      <c r="B18" s="196" t="s">
        <v>12</v>
      </c>
      <c r="C18" s="214">
        <f>ROUND(VLOOKUP(A18,'Contribution Allocation_Report'!$A$9:$D$314,4,FALSE)*$C$315,0)</f>
        <v>830126</v>
      </c>
      <c r="D18" s="214">
        <f>ROUND(VLOOKUP(A18,'Contribution Allocation_Report'!$A$9:$D$314,4,FALSE)*$D$315,0)</f>
        <v>1074195</v>
      </c>
      <c r="E18" s="214">
        <f>ROUND(VLOOKUP(A18,'Contribution Allocation_Report'!$A$9:$D$314,4,FALSE)*$E$315,0)</f>
        <v>1700994</v>
      </c>
      <c r="F18" s="192"/>
      <c r="J18" s="59">
        <v>4560</v>
      </c>
      <c r="K18" s="282">
        <f t="shared" si="0"/>
        <v>0</v>
      </c>
    </row>
    <row r="19" spans="1:11">
      <c r="A19" s="193">
        <v>2341</v>
      </c>
      <c r="B19" s="194" t="s">
        <v>417</v>
      </c>
      <c r="C19" s="213">
        <f>ROUND(VLOOKUP(A19,'Contribution Allocation_Report'!$A$9:$D$314,4,FALSE)*$C$315,0)</f>
        <v>470235</v>
      </c>
      <c r="D19" s="213">
        <f>ROUND(VLOOKUP(A19,'Contribution Allocation_Report'!$A$9:$D$314,4,FALSE)*$D$315,0)</f>
        <v>608491</v>
      </c>
      <c r="E19" s="213">
        <f>ROUND(VLOOKUP(A19,'Contribution Allocation_Report'!$A$9:$D$314,4,FALSE)*$E$315,0)</f>
        <v>963548</v>
      </c>
      <c r="F19" s="192"/>
      <c r="J19" s="227">
        <v>2341</v>
      </c>
      <c r="K19" s="282">
        <f t="shared" si="0"/>
        <v>0</v>
      </c>
    </row>
    <row r="20" spans="1:11">
      <c r="A20" s="195">
        <v>4580</v>
      </c>
      <c r="B20" s="196" t="s">
        <v>397</v>
      </c>
      <c r="C20" s="214">
        <f>ROUND(VLOOKUP(A20,'Contribution Allocation_Report'!$A$9:$D$314,4,FALSE)*$C$315,0)</f>
        <v>482093</v>
      </c>
      <c r="D20" s="214">
        <f>ROUND(VLOOKUP(A20,'Contribution Allocation_Report'!$A$9:$D$314,4,FALSE)*$D$315,0)</f>
        <v>623836</v>
      </c>
      <c r="E20" s="214">
        <f>ROUND(VLOOKUP(A20,'Contribution Allocation_Report'!$A$9:$D$314,4,FALSE)*$E$315,0)</f>
        <v>987847</v>
      </c>
      <c r="F20" s="192"/>
      <c r="J20" s="59">
        <v>4580</v>
      </c>
      <c r="K20" s="282">
        <f t="shared" si="0"/>
        <v>0</v>
      </c>
    </row>
    <row r="21" spans="1:11">
      <c r="A21" s="193">
        <v>2003</v>
      </c>
      <c r="B21" s="194" t="s">
        <v>13</v>
      </c>
      <c r="C21" s="213">
        <f>ROUND(VLOOKUP(A21,'Contribution Allocation_Report'!$A$9:$D$314,4,FALSE)*$C$315,0)</f>
        <v>152558896</v>
      </c>
      <c r="D21" s="213">
        <f>ROUND(VLOOKUP(A21,'Contribution Allocation_Report'!$A$9:$D$314,4,FALSE)*$D$315,0)</f>
        <v>197413350</v>
      </c>
      <c r="E21" s="213">
        <f>ROUND(VLOOKUP(A21,'Contribution Allocation_Report'!$A$9:$D$314,4,FALSE)*$E$315,0)</f>
        <v>312605188</v>
      </c>
      <c r="F21" s="192"/>
      <c r="J21" s="227">
        <v>2003</v>
      </c>
      <c r="K21" s="282">
        <f t="shared" si="0"/>
        <v>0</v>
      </c>
    </row>
    <row r="22" spans="1:11">
      <c r="A22" s="195">
        <v>2412</v>
      </c>
      <c r="B22" s="196" t="s">
        <v>14</v>
      </c>
      <c r="C22" s="214">
        <f>ROUND(VLOOKUP(A22,'Contribution Allocation_Report'!$A$9:$D$314,4,FALSE)*$C$315,0)</f>
        <v>1473192</v>
      </c>
      <c r="D22" s="214">
        <f>ROUND(VLOOKUP(A22,'Contribution Allocation_Report'!$A$9:$D$314,4,FALSE)*$D$315,0)</f>
        <v>1906331</v>
      </c>
      <c r="E22" s="214">
        <f>ROUND(VLOOKUP(A22,'Contribution Allocation_Report'!$A$9:$D$314,4,FALSE)*$E$315,0)</f>
        <v>3018686</v>
      </c>
      <c r="F22" s="192"/>
      <c r="J22" s="59">
        <v>2412</v>
      </c>
      <c r="K22" s="282">
        <f t="shared" si="0"/>
        <v>0</v>
      </c>
    </row>
    <row r="23" spans="1:11">
      <c r="A23" s="193">
        <v>2402</v>
      </c>
      <c r="B23" s="194" t="s">
        <v>15</v>
      </c>
      <c r="C23" s="213">
        <f>ROUND(VLOOKUP(A23,'Contribution Allocation_Report'!$A$9:$D$314,4,FALSE)*$C$315,0)</f>
        <v>731360</v>
      </c>
      <c r="D23" s="213">
        <f>ROUND(VLOOKUP(A23,'Contribution Allocation_Report'!$A$9:$D$314,4,FALSE)*$D$315,0)</f>
        <v>946390</v>
      </c>
      <c r="E23" s="213">
        <f>ROUND(VLOOKUP(A23,'Contribution Allocation_Report'!$A$9:$D$314,4,FALSE)*$E$315,0)</f>
        <v>1498614</v>
      </c>
      <c r="F23" s="192"/>
      <c r="J23" s="227">
        <v>2402</v>
      </c>
      <c r="K23" s="282">
        <f t="shared" si="0"/>
        <v>0</v>
      </c>
    </row>
    <row r="24" spans="1:11">
      <c r="A24" s="195">
        <v>2361</v>
      </c>
      <c r="B24" s="196" t="s">
        <v>16</v>
      </c>
      <c r="C24" s="214">
        <f>ROUND(VLOOKUP(A24,'Contribution Allocation_Report'!$A$9:$D$314,4,FALSE)*$C$315,0)</f>
        <v>246212</v>
      </c>
      <c r="D24" s="214">
        <f>ROUND(VLOOKUP(A24,'Contribution Allocation_Report'!$A$9:$D$314,4,FALSE)*$D$315,0)</f>
        <v>318602</v>
      </c>
      <c r="E24" s="214">
        <f>ROUND(VLOOKUP(A24,'Contribution Allocation_Report'!$A$9:$D$314,4,FALSE)*$E$315,0)</f>
        <v>504509</v>
      </c>
      <c r="F24" s="192"/>
      <c r="J24" s="59">
        <v>2361</v>
      </c>
      <c r="K24" s="282">
        <f t="shared" si="0"/>
        <v>0</v>
      </c>
    </row>
    <row r="25" spans="1:11">
      <c r="A25" s="193">
        <v>8347</v>
      </c>
      <c r="B25" s="194" t="s">
        <v>17</v>
      </c>
      <c r="C25" s="213">
        <f>ROUND(VLOOKUP(A25,'Contribution Allocation_Report'!$A$9:$D$314,4,FALSE)*$C$315,0)</f>
        <v>465048</v>
      </c>
      <c r="D25" s="213">
        <f>ROUND(VLOOKUP(A25,'Contribution Allocation_Report'!$A$9:$D$314,4,FALSE)*$D$315,0)</f>
        <v>601778</v>
      </c>
      <c r="E25" s="213">
        <f>ROUND(VLOOKUP(A25,'Contribution Allocation_Report'!$A$9:$D$314,4,FALSE)*$E$315,0)</f>
        <v>952919</v>
      </c>
      <c r="F25" s="192"/>
      <c r="J25" s="227">
        <v>8347</v>
      </c>
      <c r="K25" s="282">
        <f t="shared" si="0"/>
        <v>0</v>
      </c>
    </row>
    <row r="26" spans="1:11">
      <c r="A26" s="195">
        <v>2356</v>
      </c>
      <c r="B26" s="196" t="s">
        <v>18</v>
      </c>
      <c r="C26" s="214">
        <f>ROUND(VLOOKUP(A26,'Contribution Allocation_Report'!$A$9:$D$314,4,FALSE)*$C$315,0)</f>
        <v>837491</v>
      </c>
      <c r="D26" s="214">
        <f>ROUND(VLOOKUP(A26,'Contribution Allocation_Report'!$A$9:$D$314,4,FALSE)*$D$315,0)</f>
        <v>1083725</v>
      </c>
      <c r="E26" s="214">
        <f>ROUND(VLOOKUP(A26,'Contribution Allocation_Report'!$A$9:$D$314,4,FALSE)*$E$315,0)</f>
        <v>1716084</v>
      </c>
      <c r="F26" s="192"/>
      <c r="J26" s="59">
        <v>2356</v>
      </c>
      <c r="K26" s="282">
        <f t="shared" si="0"/>
        <v>0</v>
      </c>
    </row>
    <row r="27" spans="1:11">
      <c r="A27" s="193">
        <v>7335</v>
      </c>
      <c r="B27" s="194" t="s">
        <v>19</v>
      </c>
      <c r="C27" s="213">
        <f>ROUND(VLOOKUP(A27,'Contribution Allocation_Report'!$A$9:$D$314,4,FALSE)*$C$315,0)</f>
        <v>231181</v>
      </c>
      <c r="D27" s="213">
        <f>ROUND(VLOOKUP(A27,'Contribution Allocation_Report'!$A$9:$D$314,4,FALSE)*$D$315,0)</f>
        <v>299151</v>
      </c>
      <c r="E27" s="213">
        <f>ROUND(VLOOKUP(A27,'Contribution Allocation_Report'!$A$9:$D$314,4,FALSE)*$E$315,0)</f>
        <v>473708</v>
      </c>
      <c r="F27" s="192"/>
      <c r="J27" s="227">
        <v>7335</v>
      </c>
      <c r="K27" s="282">
        <f t="shared" si="0"/>
        <v>0</v>
      </c>
    </row>
    <row r="28" spans="1:11">
      <c r="A28" s="195">
        <v>575</v>
      </c>
      <c r="B28" s="196" t="s">
        <v>398</v>
      </c>
      <c r="C28" s="214">
        <f>ROUND(VLOOKUP(A28,'Contribution Allocation_Report'!$A$9:$D$314,4,FALSE)*$C$315,0)</f>
        <v>299657</v>
      </c>
      <c r="D28" s="214">
        <f>ROUND(VLOOKUP(A28,'Contribution Allocation_Report'!$A$9:$D$314,4,FALSE)*$D$315,0)</f>
        <v>387760</v>
      </c>
      <c r="E28" s="214">
        <f>ROUND(VLOOKUP(A28,'Contribution Allocation_Report'!$A$9:$D$314,4,FALSE)*$E$315,0)</f>
        <v>614021</v>
      </c>
      <c r="F28" s="192"/>
      <c r="J28" s="59">
        <v>575</v>
      </c>
      <c r="K28" s="282">
        <f t="shared" si="0"/>
        <v>0</v>
      </c>
    </row>
    <row r="29" spans="1:11">
      <c r="A29" s="193">
        <v>2303</v>
      </c>
      <c r="B29" s="194" t="s">
        <v>20</v>
      </c>
      <c r="C29" s="213">
        <f>ROUND(VLOOKUP(A29,'Contribution Allocation_Report'!$A$9:$D$314,4,FALSE)*$C$315,0)</f>
        <v>517799</v>
      </c>
      <c r="D29" s="213">
        <f>ROUND(VLOOKUP(A29,'Contribution Allocation_Report'!$A$9:$D$314,4,FALSE)*$D$315,0)</f>
        <v>670039</v>
      </c>
      <c r="E29" s="213">
        <f>ROUND(VLOOKUP(A29,'Contribution Allocation_Report'!$A$9:$D$314,4,FALSE)*$E$315,0)</f>
        <v>1061011</v>
      </c>
      <c r="F29" s="192"/>
      <c r="J29" s="227">
        <v>2303</v>
      </c>
      <c r="K29" s="282">
        <f t="shared" si="0"/>
        <v>0</v>
      </c>
    </row>
    <row r="30" spans="1:11">
      <c r="A30" s="195">
        <v>20316</v>
      </c>
      <c r="B30" s="196" t="s">
        <v>21</v>
      </c>
      <c r="C30" s="214">
        <f>ROUND(VLOOKUP(A30,'Contribution Allocation_Report'!$A$9:$D$314,4,FALSE)*$C$315,0)</f>
        <v>366075</v>
      </c>
      <c r="D30" s="214">
        <f>ROUND(VLOOKUP(A30,'Contribution Allocation_Report'!$A$9:$D$314,4,FALSE)*$D$315,0)</f>
        <v>473706</v>
      </c>
      <c r="E30" s="214">
        <f>ROUND(VLOOKUP(A30,'Contribution Allocation_Report'!$A$9:$D$314,4,FALSE)*$E$315,0)</f>
        <v>750117</v>
      </c>
      <c r="F30" s="192"/>
      <c r="J30" s="59">
        <v>20316</v>
      </c>
      <c r="K30" s="282">
        <f t="shared" si="0"/>
        <v>0</v>
      </c>
    </row>
    <row r="31" spans="1:11">
      <c r="A31" s="193">
        <v>23121</v>
      </c>
      <c r="B31" s="194" t="s">
        <v>22</v>
      </c>
      <c r="C31" s="213">
        <f>ROUND(VLOOKUP(A31,'Contribution Allocation_Report'!$A$9:$D$314,4,FALSE)*$C$315,0)</f>
        <v>447103</v>
      </c>
      <c r="D31" s="213">
        <f>ROUND(VLOOKUP(A31,'Contribution Allocation_Report'!$A$9:$D$314,4,FALSE)*$D$315,0)</f>
        <v>578557</v>
      </c>
      <c r="E31" s="213">
        <f>ROUND(VLOOKUP(A31,'Contribution Allocation_Report'!$A$9:$D$314,4,FALSE)*$E$315,0)</f>
        <v>916149</v>
      </c>
      <c r="F31" s="192"/>
      <c r="J31" s="227">
        <v>23121</v>
      </c>
      <c r="K31" s="282">
        <f t="shared" si="0"/>
        <v>0</v>
      </c>
    </row>
    <row r="32" spans="1:11">
      <c r="A32" s="195">
        <v>3004</v>
      </c>
      <c r="B32" s="196" t="s">
        <v>23</v>
      </c>
      <c r="C32" s="214">
        <f>ROUND(VLOOKUP(A32,'Contribution Allocation_Report'!$A$9:$D$314,4,FALSE)*$C$315,0)</f>
        <v>6533484</v>
      </c>
      <c r="D32" s="214">
        <f>ROUND(VLOOKUP(A32,'Contribution Allocation_Report'!$A$9:$D$314,4,FALSE)*$D$315,0)</f>
        <v>8454419</v>
      </c>
      <c r="E32" s="214">
        <f>ROUND(VLOOKUP(A32,'Contribution Allocation_Report'!$A$9:$D$314,4,FALSE)*$E$315,0)</f>
        <v>13387622</v>
      </c>
      <c r="F32" s="192"/>
      <c r="J32" s="59">
        <v>3004</v>
      </c>
      <c r="K32" s="282">
        <f t="shared" si="0"/>
        <v>0</v>
      </c>
    </row>
    <row r="33" spans="1:11">
      <c r="A33" s="193">
        <v>16050</v>
      </c>
      <c r="B33" s="194" t="s">
        <v>24</v>
      </c>
      <c r="C33" s="213">
        <f>ROUND(VLOOKUP(A33,'Contribution Allocation_Report'!$A$9:$D$314,4,FALSE)*$C$315,0)</f>
        <v>4284682</v>
      </c>
      <c r="D33" s="213">
        <f>ROUND(VLOOKUP(A33,'Contribution Allocation_Report'!$A$9:$D$314,4,FALSE)*$D$315,0)</f>
        <v>5544438</v>
      </c>
      <c r="E33" s="213">
        <f>ROUND(VLOOKUP(A33,'Contribution Allocation_Report'!$A$9:$D$314,4,FALSE)*$E$315,0)</f>
        <v>8779650</v>
      </c>
      <c r="F33" s="192"/>
      <c r="J33" s="227">
        <v>16050</v>
      </c>
      <c r="K33" s="282">
        <f t="shared" si="0"/>
        <v>0</v>
      </c>
    </row>
    <row r="34" spans="1:11">
      <c r="A34" s="195">
        <v>14043</v>
      </c>
      <c r="B34" s="196" t="s">
        <v>25</v>
      </c>
      <c r="C34" s="214">
        <f>ROUND(VLOOKUP(A34,'Contribution Allocation_Report'!$A$9:$D$314,4,FALSE)*$C$315,0)</f>
        <v>6549078</v>
      </c>
      <c r="D34" s="214">
        <f>ROUND(VLOOKUP(A34,'Contribution Allocation_Report'!$A$9:$D$314,4,FALSE)*$D$315,0)</f>
        <v>8474599</v>
      </c>
      <c r="E34" s="214">
        <f>ROUND(VLOOKUP(A34,'Contribution Allocation_Report'!$A$9:$D$314,4,FALSE)*$E$315,0)</f>
        <v>13419577</v>
      </c>
      <c r="F34" s="192"/>
      <c r="J34" s="59">
        <v>14043</v>
      </c>
      <c r="K34" s="282">
        <f t="shared" si="0"/>
        <v>0</v>
      </c>
    </row>
    <row r="35" spans="1:11">
      <c r="A35" s="193">
        <v>3010</v>
      </c>
      <c r="B35" s="194" t="s">
        <v>26</v>
      </c>
      <c r="C35" s="213">
        <f>ROUND(VLOOKUP(A35,'Contribution Allocation_Report'!$A$9:$D$314,4,FALSE)*$C$315,0)</f>
        <v>40000369</v>
      </c>
      <c r="D35" s="213">
        <f>ROUND(VLOOKUP(A35,'Contribution Allocation_Report'!$A$9:$D$314,4,FALSE)*$D$315,0)</f>
        <v>51761038</v>
      </c>
      <c r="E35" s="213">
        <f>ROUND(VLOOKUP(A35,'Contribution Allocation_Report'!$A$9:$D$314,4,FALSE)*$E$315,0)</f>
        <v>81963905</v>
      </c>
      <c r="F35" s="192"/>
      <c r="J35" s="227">
        <v>3010</v>
      </c>
      <c r="K35" s="282">
        <f t="shared" si="0"/>
        <v>0</v>
      </c>
    </row>
    <row r="36" spans="1:11">
      <c r="A36" s="195">
        <v>29086</v>
      </c>
      <c r="B36" s="196" t="s">
        <v>27</v>
      </c>
      <c r="C36" s="214">
        <f>ROUND(VLOOKUP(A36,'Contribution Allocation_Report'!$A$9:$D$314,4,FALSE)*$C$315,0)</f>
        <v>7426584</v>
      </c>
      <c r="D36" s="214">
        <f>ROUND(VLOOKUP(A36,'Contribution Allocation_Report'!$A$9:$D$314,4,FALSE)*$D$315,0)</f>
        <v>9610104</v>
      </c>
      <c r="E36" s="214">
        <f>ROUND(VLOOKUP(A36,'Contribution Allocation_Report'!$A$9:$D$314,4,FALSE)*$E$315,0)</f>
        <v>15217656</v>
      </c>
      <c r="F36" s="192"/>
      <c r="J36" s="59">
        <v>29086</v>
      </c>
      <c r="K36" s="282">
        <f t="shared" si="0"/>
        <v>0</v>
      </c>
    </row>
    <row r="37" spans="1:11">
      <c r="A37" s="193">
        <v>16051</v>
      </c>
      <c r="B37" s="194" t="s">
        <v>28</v>
      </c>
      <c r="C37" s="213">
        <f>ROUND(VLOOKUP(A37,'Contribution Allocation_Report'!$A$9:$D$314,4,FALSE)*$C$315,0)</f>
        <v>5150373</v>
      </c>
      <c r="D37" s="213">
        <f>ROUND(VLOOKUP(A37,'Contribution Allocation_Report'!$A$9:$D$314,4,FALSE)*$D$315,0)</f>
        <v>6664655</v>
      </c>
      <c r="E37" s="213">
        <f>ROUND(VLOOKUP(A37,'Contribution Allocation_Report'!$A$9:$D$314,4,FALSE)*$E$315,0)</f>
        <v>10553519</v>
      </c>
      <c r="F37" s="192"/>
      <c r="J37" s="227">
        <v>16051</v>
      </c>
      <c r="K37" s="282">
        <f t="shared" si="0"/>
        <v>0</v>
      </c>
    </row>
    <row r="38" spans="1:11">
      <c r="A38" s="195">
        <v>26077</v>
      </c>
      <c r="B38" s="196" t="s">
        <v>29</v>
      </c>
      <c r="C38" s="214">
        <f>ROUND(VLOOKUP(A38,'Contribution Allocation_Report'!$A$9:$D$314,4,FALSE)*$C$315,0)</f>
        <v>1051095</v>
      </c>
      <c r="D38" s="214">
        <f>ROUND(VLOOKUP(A38,'Contribution Allocation_Report'!$A$9:$D$314,4,FALSE)*$D$315,0)</f>
        <v>1360132</v>
      </c>
      <c r="E38" s="214">
        <f>ROUND(VLOOKUP(A38,'Contribution Allocation_Report'!$A$9:$D$314,4,FALSE)*$E$315,0)</f>
        <v>2153776</v>
      </c>
      <c r="F38" s="192"/>
      <c r="J38" s="59">
        <v>26077</v>
      </c>
      <c r="K38" s="282">
        <f t="shared" si="0"/>
        <v>0</v>
      </c>
    </row>
    <row r="39" spans="1:11">
      <c r="A39" s="193">
        <v>3005</v>
      </c>
      <c r="B39" s="194" t="s">
        <v>30</v>
      </c>
      <c r="C39" s="213">
        <f>ROUND(VLOOKUP(A39,'Contribution Allocation_Report'!$A$9:$D$314,4,FALSE)*$C$315,0)</f>
        <v>13213168</v>
      </c>
      <c r="D39" s="213">
        <f>ROUND(VLOOKUP(A39,'Contribution Allocation_Report'!$A$9:$D$314,4,FALSE)*$D$315,0)</f>
        <v>17098024</v>
      </c>
      <c r="E39" s="213">
        <f>ROUND(VLOOKUP(A39,'Contribution Allocation_Report'!$A$9:$D$314,4,FALSE)*$E$315,0)</f>
        <v>27074821</v>
      </c>
      <c r="F39" s="192"/>
      <c r="J39" s="227">
        <v>3005</v>
      </c>
      <c r="K39" s="282">
        <f t="shared" si="0"/>
        <v>0</v>
      </c>
    </row>
    <row r="40" spans="1:11">
      <c r="A40" s="195">
        <v>26078</v>
      </c>
      <c r="B40" s="196" t="s">
        <v>31</v>
      </c>
      <c r="C40" s="214">
        <f>ROUND(VLOOKUP(A40,'Contribution Allocation_Report'!$A$9:$D$314,4,FALSE)*$C$315,0)</f>
        <v>424046</v>
      </c>
      <c r="D40" s="214">
        <f>ROUND(VLOOKUP(A40,'Contribution Allocation_Report'!$A$9:$D$314,4,FALSE)*$D$315,0)</f>
        <v>548722</v>
      </c>
      <c r="E40" s="214">
        <f>ROUND(VLOOKUP(A40,'Contribution Allocation_Report'!$A$9:$D$314,4,FALSE)*$E$315,0)</f>
        <v>868904</v>
      </c>
      <c r="F40" s="192"/>
      <c r="J40" s="59">
        <v>26078</v>
      </c>
      <c r="K40" s="282">
        <f t="shared" si="0"/>
        <v>0</v>
      </c>
    </row>
    <row r="41" spans="1:11">
      <c r="A41" s="193">
        <v>16053</v>
      </c>
      <c r="B41" s="194" t="s">
        <v>32</v>
      </c>
      <c r="C41" s="213">
        <f>ROUND(VLOOKUP(A41,'Contribution Allocation_Report'!$A$9:$D$314,4,FALSE)*$C$315,0)</f>
        <v>12853200</v>
      </c>
      <c r="D41" s="213">
        <f>ROUND(VLOOKUP(A41,'Contribution Allocation_Report'!$A$9:$D$314,4,FALSE)*$D$315,0)</f>
        <v>16632221</v>
      </c>
      <c r="E41" s="213">
        <f>ROUND(VLOOKUP(A41,'Contribution Allocation_Report'!$A$9:$D$314,4,FALSE)*$E$315,0)</f>
        <v>26337219</v>
      </c>
      <c r="F41" s="192"/>
      <c r="J41" s="227">
        <v>16053</v>
      </c>
      <c r="K41" s="282">
        <f t="shared" si="0"/>
        <v>0</v>
      </c>
    </row>
    <row r="42" spans="1:11">
      <c r="A42" s="195">
        <v>2123</v>
      </c>
      <c r="B42" s="196" t="s">
        <v>33</v>
      </c>
      <c r="C42" s="214">
        <f>ROUND(VLOOKUP(A42,'Contribution Allocation_Report'!$A$9:$D$314,4,FALSE)*$C$315,0)</f>
        <v>21741107</v>
      </c>
      <c r="D42" s="214">
        <f>ROUND(VLOOKUP(A42,'Contribution Allocation_Report'!$A$9:$D$314,4,FALSE)*$D$315,0)</f>
        <v>28133298</v>
      </c>
      <c r="E42" s="214">
        <f>ROUND(VLOOKUP(A42,'Contribution Allocation_Report'!$A$9:$D$314,4,FALSE)*$E$315,0)</f>
        <v>44549241</v>
      </c>
      <c r="F42" s="192"/>
      <c r="J42" s="59">
        <v>2123</v>
      </c>
      <c r="K42" s="282">
        <f t="shared" si="0"/>
        <v>0</v>
      </c>
    </row>
    <row r="43" spans="1:11">
      <c r="A43" s="193">
        <v>2150</v>
      </c>
      <c r="B43" s="194" t="s">
        <v>34</v>
      </c>
      <c r="C43" s="213">
        <f>ROUND(VLOOKUP(A43,'Contribution Allocation_Report'!$A$9:$D$314,4,FALSE)*$C$315,0)</f>
        <v>1832206</v>
      </c>
      <c r="D43" s="213">
        <f>ROUND(VLOOKUP(A43,'Contribution Allocation_Report'!$A$9:$D$314,4,FALSE)*$D$315,0)</f>
        <v>2370901</v>
      </c>
      <c r="E43" s="213">
        <f>ROUND(VLOOKUP(A43,'Contribution Allocation_Report'!$A$9:$D$314,4,FALSE)*$E$315,0)</f>
        <v>3754335</v>
      </c>
      <c r="F43" s="192"/>
      <c r="J43" s="227">
        <v>2150</v>
      </c>
      <c r="K43" s="282">
        <f t="shared" si="0"/>
        <v>0</v>
      </c>
    </row>
    <row r="44" spans="1:11">
      <c r="A44" s="195">
        <v>2336</v>
      </c>
      <c r="B44" s="196" t="s">
        <v>35</v>
      </c>
      <c r="C44" s="214">
        <f>ROUND(VLOOKUP(A44,'Contribution Allocation_Report'!$A$9:$D$314,4,FALSE)*$C$315,0)</f>
        <v>345022</v>
      </c>
      <c r="D44" s="214">
        <f>ROUND(VLOOKUP(A44,'Contribution Allocation_Report'!$A$9:$D$314,4,FALSE)*$D$315,0)</f>
        <v>446464</v>
      </c>
      <c r="E44" s="214">
        <f>ROUND(VLOOKUP(A44,'Contribution Allocation_Report'!$A$9:$D$314,4,FALSE)*$E$315,0)</f>
        <v>706978</v>
      </c>
      <c r="F44" s="192"/>
      <c r="J44" s="59">
        <v>2336</v>
      </c>
      <c r="K44" s="282">
        <f t="shared" si="0"/>
        <v>0</v>
      </c>
    </row>
    <row r="45" spans="1:11">
      <c r="A45" s="193">
        <v>17126</v>
      </c>
      <c r="B45" s="194" t="s">
        <v>36</v>
      </c>
      <c r="C45" s="213">
        <f>ROUND(VLOOKUP(A45,'Contribution Allocation_Report'!$A$9:$D$314,4,FALSE)*$C$315,0)</f>
        <v>946729</v>
      </c>
      <c r="D45" s="213">
        <f>ROUND(VLOOKUP(A45,'Contribution Allocation_Report'!$A$9:$D$314,4,FALSE)*$D$315,0)</f>
        <v>1225081</v>
      </c>
      <c r="E45" s="213">
        <f>ROUND(VLOOKUP(A45,'Contribution Allocation_Report'!$A$9:$D$314,4,FALSE)*$E$315,0)</f>
        <v>1939923</v>
      </c>
      <c r="F45" s="192"/>
      <c r="J45" s="227">
        <v>17126</v>
      </c>
      <c r="K45" s="282">
        <f t="shared" si="0"/>
        <v>0</v>
      </c>
    </row>
    <row r="46" spans="1:11">
      <c r="A46" s="195">
        <v>3030</v>
      </c>
      <c r="B46" s="196" t="s">
        <v>37</v>
      </c>
      <c r="C46" s="214">
        <f>ROUND(VLOOKUP(A46,'Contribution Allocation_Report'!$A$9:$D$314,4,FALSE)*$C$315,0)</f>
        <v>2439924</v>
      </c>
      <c r="D46" s="214">
        <f>ROUND(VLOOKUP(A46,'Contribution Allocation_Report'!$A$9:$D$314,4,FALSE)*$D$315,0)</f>
        <v>3157296</v>
      </c>
      <c r="E46" s="214">
        <f>ROUND(VLOOKUP(A46,'Contribution Allocation_Report'!$A$9:$D$314,4,FALSE)*$E$315,0)</f>
        <v>4999596</v>
      </c>
      <c r="F46" s="192"/>
      <c r="J46" s="59">
        <v>3030</v>
      </c>
      <c r="K46" s="282">
        <f t="shared" si="0"/>
        <v>0</v>
      </c>
    </row>
    <row r="47" spans="1:11">
      <c r="A47" s="193">
        <v>2353</v>
      </c>
      <c r="B47" s="194" t="s">
        <v>38</v>
      </c>
      <c r="C47" s="213">
        <f>ROUND(VLOOKUP(A47,'Contribution Allocation_Report'!$A$9:$D$314,4,FALSE)*$C$315,0)</f>
        <v>1059834</v>
      </c>
      <c r="D47" s="213">
        <f>ROUND(VLOOKUP(A47,'Contribution Allocation_Report'!$A$9:$D$314,4,FALSE)*$D$315,0)</f>
        <v>1371441</v>
      </c>
      <c r="E47" s="213">
        <f>ROUND(VLOOKUP(A47,'Contribution Allocation_Report'!$A$9:$D$314,4,FALSE)*$E$315,0)</f>
        <v>2171684</v>
      </c>
      <c r="F47" s="192"/>
      <c r="J47" s="227">
        <v>2353</v>
      </c>
      <c r="K47" s="282">
        <f t="shared" si="0"/>
        <v>0</v>
      </c>
    </row>
    <row r="48" spans="1:11">
      <c r="A48" s="195">
        <v>3040</v>
      </c>
      <c r="B48" s="196" t="s">
        <v>39</v>
      </c>
      <c r="C48" s="214">
        <f>ROUND(VLOOKUP(A48,'Contribution Allocation_Report'!$A$9:$D$314,4,FALSE)*$C$315,0)</f>
        <v>1134451</v>
      </c>
      <c r="D48" s="214">
        <f>ROUND(VLOOKUP(A48,'Contribution Allocation_Report'!$A$9:$D$314,4,FALSE)*$D$315,0)</f>
        <v>1467995</v>
      </c>
      <c r="E48" s="214">
        <f>ROUND(VLOOKUP(A48,'Contribution Allocation_Report'!$A$9:$D$314,4,FALSE)*$E$315,0)</f>
        <v>2324579</v>
      </c>
      <c r="F48" s="192"/>
      <c r="J48" s="59">
        <v>3040</v>
      </c>
      <c r="K48" s="282">
        <f t="shared" si="0"/>
        <v>0</v>
      </c>
    </row>
    <row r="49" spans="1:11">
      <c r="A49" s="193">
        <v>2367</v>
      </c>
      <c r="B49" s="194" t="s">
        <v>40</v>
      </c>
      <c r="C49" s="213">
        <f>ROUND(VLOOKUP(A49,'Contribution Allocation_Report'!$A$9:$D$314,4,FALSE)*$C$315,0)</f>
        <v>909465</v>
      </c>
      <c r="D49" s="213">
        <f>ROUND(VLOOKUP(A49,'Contribution Allocation_Report'!$A$9:$D$314,4,FALSE)*$D$315,0)</f>
        <v>1176860</v>
      </c>
      <c r="E49" s="213">
        <f>ROUND(VLOOKUP(A49,'Contribution Allocation_Report'!$A$9:$D$314,4,FALSE)*$E$315,0)</f>
        <v>1863564</v>
      </c>
      <c r="F49" s="192"/>
      <c r="J49" s="227">
        <v>2367</v>
      </c>
      <c r="K49" s="282">
        <f t="shared" si="0"/>
        <v>0</v>
      </c>
    </row>
    <row r="50" spans="1:11">
      <c r="A50" s="195">
        <v>9027</v>
      </c>
      <c r="B50" s="196" t="s">
        <v>41</v>
      </c>
      <c r="C50" s="214">
        <f>ROUND(VLOOKUP(A50,'Contribution Allocation_Report'!$A$9:$D$314,4,FALSE)*$C$315,0)</f>
        <v>965671</v>
      </c>
      <c r="D50" s="214">
        <f>ROUND(VLOOKUP(A50,'Contribution Allocation_Report'!$A$9:$D$314,4,FALSE)*$D$315,0)</f>
        <v>1249591</v>
      </c>
      <c r="E50" s="214">
        <f>ROUND(VLOOKUP(A50,'Contribution Allocation_Report'!$A$9:$D$314,4,FALSE)*$E$315,0)</f>
        <v>1978735</v>
      </c>
      <c r="F50" s="192"/>
      <c r="J50" s="59">
        <v>9027</v>
      </c>
      <c r="K50" s="282">
        <f t="shared" si="0"/>
        <v>0</v>
      </c>
    </row>
    <row r="51" spans="1:11">
      <c r="A51" s="193">
        <v>2010</v>
      </c>
      <c r="B51" s="194" t="s">
        <v>42</v>
      </c>
      <c r="C51" s="213">
        <f>ROUND(VLOOKUP(A51,'Contribution Allocation_Report'!$A$9:$D$314,4,FALSE)*$C$315,0)</f>
        <v>3613286</v>
      </c>
      <c r="D51" s="213">
        <f>ROUND(VLOOKUP(A51,'Contribution Allocation_Report'!$A$9:$D$314,4,FALSE)*$D$315,0)</f>
        <v>4675642</v>
      </c>
      <c r="E51" s="213">
        <f>ROUND(VLOOKUP(A51,'Contribution Allocation_Report'!$A$9:$D$314,4,FALSE)*$E$315,0)</f>
        <v>7403907</v>
      </c>
      <c r="F51" s="192"/>
      <c r="J51" s="227">
        <v>2010</v>
      </c>
      <c r="K51" s="282">
        <f t="shared" si="0"/>
        <v>0</v>
      </c>
    </row>
    <row r="52" spans="1:11">
      <c r="A52" s="195">
        <v>2020</v>
      </c>
      <c r="B52" s="196" t="s">
        <v>43</v>
      </c>
      <c r="C52" s="214">
        <f>ROUND(VLOOKUP(A52,'Contribution Allocation_Report'!$A$9:$D$314,4,FALSE)*$C$315,0)</f>
        <v>89676590</v>
      </c>
      <c r="D52" s="214">
        <f>ROUND(VLOOKUP(A52,'Contribution Allocation_Report'!$A$9:$D$314,4,FALSE)*$D$315,0)</f>
        <v>116042765</v>
      </c>
      <c r="E52" s="214">
        <f>ROUND(VLOOKUP(A52,'Contribution Allocation_Report'!$A$9:$D$314,4,FALSE)*$E$315,0)</f>
        <v>183754392</v>
      </c>
      <c r="F52" s="192"/>
      <c r="J52" s="59">
        <v>2020</v>
      </c>
      <c r="K52" s="282">
        <f t="shared" si="0"/>
        <v>0</v>
      </c>
    </row>
    <row r="53" spans="1:11">
      <c r="A53" s="193">
        <v>2040</v>
      </c>
      <c r="B53" s="194" t="s">
        <v>44</v>
      </c>
      <c r="C53" s="213">
        <f>ROUND(VLOOKUP(A53,'Contribution Allocation_Report'!$A$9:$D$314,4,FALSE)*$C$315,0)</f>
        <v>1219323</v>
      </c>
      <c r="D53" s="213">
        <f>ROUND(VLOOKUP(A53,'Contribution Allocation_Report'!$A$9:$D$314,4,FALSE)*$D$315,0)</f>
        <v>1577821</v>
      </c>
      <c r="E53" s="213">
        <f>ROUND(VLOOKUP(A53,'Contribution Allocation_Report'!$A$9:$D$314,4,FALSE)*$E$315,0)</f>
        <v>2498489</v>
      </c>
      <c r="F53" s="192"/>
      <c r="J53" s="227">
        <v>2040</v>
      </c>
      <c r="K53" s="282">
        <f t="shared" si="0"/>
        <v>0</v>
      </c>
    </row>
    <row r="54" spans="1:11">
      <c r="A54" s="195">
        <v>2060</v>
      </c>
      <c r="B54" s="196" t="s">
        <v>45</v>
      </c>
      <c r="C54" s="214">
        <f>ROUND(VLOOKUP(A54,'Contribution Allocation_Report'!$A$9:$D$314,4,FALSE)*$C$315,0)</f>
        <v>1759951</v>
      </c>
      <c r="D54" s="214">
        <f>ROUND(VLOOKUP(A54,'Contribution Allocation_Report'!$A$9:$D$314,4,FALSE)*$D$315,0)</f>
        <v>2277401</v>
      </c>
      <c r="E54" s="214">
        <f>ROUND(VLOOKUP(A54,'Contribution Allocation_Report'!$A$9:$D$314,4,FALSE)*$E$315,0)</f>
        <v>3606278</v>
      </c>
      <c r="F54" s="192"/>
      <c r="J54" s="59">
        <v>2060</v>
      </c>
      <c r="K54" s="282">
        <f t="shared" si="0"/>
        <v>0</v>
      </c>
    </row>
    <row r="55" spans="1:11">
      <c r="A55" s="193">
        <v>2090</v>
      </c>
      <c r="B55" s="194" t="s">
        <v>46</v>
      </c>
      <c r="C55" s="213">
        <f>ROUND(VLOOKUP(A55,'Contribution Allocation_Report'!$A$9:$D$314,4,FALSE)*$C$315,0)</f>
        <v>1041738</v>
      </c>
      <c r="D55" s="213">
        <f>ROUND(VLOOKUP(A55,'Contribution Allocation_Report'!$A$9:$D$314,4,FALSE)*$D$315,0)</f>
        <v>1348024</v>
      </c>
      <c r="E55" s="213">
        <f>ROUND(VLOOKUP(A55,'Contribution Allocation_Report'!$A$9:$D$314,4,FALSE)*$E$315,0)</f>
        <v>2134603</v>
      </c>
      <c r="F55" s="192"/>
      <c r="J55" s="227">
        <v>2090</v>
      </c>
      <c r="K55" s="282">
        <f t="shared" si="0"/>
        <v>0</v>
      </c>
    </row>
    <row r="56" spans="1:11">
      <c r="A56" s="195">
        <v>2110</v>
      </c>
      <c r="B56" s="196" t="s">
        <v>47</v>
      </c>
      <c r="C56" s="214">
        <f>ROUND(VLOOKUP(A56,'Contribution Allocation_Report'!$A$9:$D$314,4,FALSE)*$C$315,0)</f>
        <v>7166467</v>
      </c>
      <c r="D56" s="214">
        <f>ROUND(VLOOKUP(A56,'Contribution Allocation_Report'!$A$9:$D$314,4,FALSE)*$D$315,0)</f>
        <v>9273508</v>
      </c>
      <c r="E56" s="214">
        <f>ROUND(VLOOKUP(A56,'Contribution Allocation_Report'!$A$9:$D$314,4,FALSE)*$E$315,0)</f>
        <v>14684654</v>
      </c>
      <c r="F56" s="192"/>
      <c r="J56" s="59">
        <v>2110</v>
      </c>
      <c r="K56" s="282">
        <f t="shared" si="0"/>
        <v>0</v>
      </c>
    </row>
    <row r="57" spans="1:11">
      <c r="A57" s="193">
        <v>2180</v>
      </c>
      <c r="B57" s="194" t="s">
        <v>48</v>
      </c>
      <c r="C57" s="213">
        <f>ROUND(VLOOKUP(A57,'Contribution Allocation_Report'!$A$9:$D$314,4,FALSE)*$C$315,0)</f>
        <v>3579140</v>
      </c>
      <c r="D57" s="213">
        <f>ROUND(VLOOKUP(A57,'Contribution Allocation_Report'!$A$9:$D$314,4,FALSE)*$D$315,0)</f>
        <v>4631457</v>
      </c>
      <c r="E57" s="213">
        <f>ROUND(VLOOKUP(A57,'Contribution Allocation_Report'!$A$9:$D$314,4,FALSE)*$E$315,0)</f>
        <v>7333939</v>
      </c>
      <c r="F57" s="192"/>
      <c r="J57" s="227">
        <v>2180</v>
      </c>
      <c r="K57" s="282">
        <f t="shared" si="0"/>
        <v>0</v>
      </c>
    </row>
    <row r="58" spans="1:11">
      <c r="A58" s="195">
        <v>2210</v>
      </c>
      <c r="B58" s="196" t="s">
        <v>49</v>
      </c>
      <c r="C58" s="214">
        <f>ROUND(VLOOKUP(A58,'Contribution Allocation_Report'!$A$9:$D$314,4,FALSE)*$C$315,0)</f>
        <v>1615136</v>
      </c>
      <c r="D58" s="214">
        <f>ROUND(VLOOKUP(A58,'Contribution Allocation_Report'!$A$9:$D$314,4,FALSE)*$D$315,0)</f>
        <v>2090009</v>
      </c>
      <c r="E58" s="214">
        <f>ROUND(VLOOKUP(A58,'Contribution Allocation_Report'!$A$9:$D$314,4,FALSE)*$E$315,0)</f>
        <v>3309542</v>
      </c>
      <c r="F58" s="192"/>
      <c r="J58" s="59">
        <v>2210</v>
      </c>
      <c r="K58" s="282">
        <f t="shared" si="0"/>
        <v>0</v>
      </c>
    </row>
    <row r="59" spans="1:11">
      <c r="A59" s="193">
        <v>2290</v>
      </c>
      <c r="B59" s="194" t="s">
        <v>50</v>
      </c>
      <c r="C59" s="213">
        <f>ROUND(VLOOKUP(A59,'Contribution Allocation_Report'!$A$9:$D$314,4,FALSE)*$C$315,0)</f>
        <v>1738833</v>
      </c>
      <c r="D59" s="213">
        <f>ROUND(VLOOKUP(A59,'Contribution Allocation_Report'!$A$9:$D$314,4,FALSE)*$D$315,0)</f>
        <v>2250074</v>
      </c>
      <c r="E59" s="213">
        <f>ROUND(VLOOKUP(A59,'Contribution Allocation_Report'!$A$9:$D$314,4,FALSE)*$E$315,0)</f>
        <v>3563005</v>
      </c>
      <c r="F59" s="192"/>
      <c r="J59" s="227">
        <v>2290</v>
      </c>
      <c r="K59" s="282">
        <f t="shared" si="0"/>
        <v>0</v>
      </c>
    </row>
    <row r="60" spans="1:11">
      <c r="A60" s="195">
        <v>2310</v>
      </c>
      <c r="B60" s="196" t="s">
        <v>51</v>
      </c>
      <c r="C60" s="214">
        <f>ROUND(VLOOKUP(A60,'Contribution Allocation_Report'!$A$9:$D$314,4,FALSE)*$C$315,0)</f>
        <v>12586206</v>
      </c>
      <c r="D60" s="214">
        <f>ROUND(VLOOKUP(A60,'Contribution Allocation_Report'!$A$9:$D$314,4,FALSE)*$D$315,0)</f>
        <v>16286727</v>
      </c>
      <c r="E60" s="214">
        <f>ROUND(VLOOKUP(A60,'Contribution Allocation_Report'!$A$9:$D$314,4,FALSE)*$E$315,0)</f>
        <v>25790126</v>
      </c>
      <c r="F60" s="192"/>
      <c r="J60" s="59">
        <v>2310</v>
      </c>
      <c r="K60" s="282">
        <f t="shared" si="0"/>
        <v>0</v>
      </c>
    </row>
    <row r="61" spans="1:11">
      <c r="A61" s="193">
        <v>2330</v>
      </c>
      <c r="B61" s="194" t="s">
        <v>52</v>
      </c>
      <c r="C61" s="213">
        <f>ROUND(VLOOKUP(A61,'Contribution Allocation_Report'!$A$9:$D$314,4,FALSE)*$C$315,0)</f>
        <v>3978094</v>
      </c>
      <c r="D61" s="213">
        <f>ROUND(VLOOKUP(A61,'Contribution Allocation_Report'!$A$9:$D$314,4,FALSE)*$D$315,0)</f>
        <v>5147709</v>
      </c>
      <c r="E61" s="213">
        <f>ROUND(VLOOKUP(A61,'Contribution Allocation_Report'!$A$9:$D$314,4,FALSE)*$E$315,0)</f>
        <v>8151427</v>
      </c>
      <c r="F61" s="192"/>
      <c r="J61" s="227">
        <v>2330</v>
      </c>
      <c r="K61" s="282">
        <f t="shared" si="0"/>
        <v>0</v>
      </c>
    </row>
    <row r="62" spans="1:11">
      <c r="A62" s="195">
        <v>2380</v>
      </c>
      <c r="B62" s="196" t="s">
        <v>53</v>
      </c>
      <c r="C62" s="214">
        <f>ROUND(VLOOKUP(A62,'Contribution Allocation_Report'!$A$9:$D$314,4,FALSE)*$C$315,0)</f>
        <v>785552</v>
      </c>
      <c r="D62" s="214">
        <f>ROUND(VLOOKUP(A62,'Contribution Allocation_Report'!$A$9:$D$314,4,FALSE)*$D$315,0)</f>
        <v>1016515</v>
      </c>
      <c r="E62" s="214">
        <f>ROUND(VLOOKUP(A62,'Contribution Allocation_Report'!$A$9:$D$314,4,FALSE)*$E$315,0)</f>
        <v>1609657</v>
      </c>
      <c r="F62" s="192"/>
      <c r="J62" s="59">
        <v>2380</v>
      </c>
      <c r="K62" s="282">
        <f t="shared" si="0"/>
        <v>0</v>
      </c>
    </row>
    <row r="63" spans="1:11">
      <c r="A63" s="193">
        <v>2400</v>
      </c>
      <c r="B63" s="194" t="s">
        <v>54</v>
      </c>
      <c r="C63" s="213">
        <f>ROUND(VLOOKUP(A63,'Contribution Allocation_Report'!$A$9:$D$314,4,FALSE)*$C$315,0)</f>
        <v>22120655</v>
      </c>
      <c r="D63" s="213">
        <f>ROUND(VLOOKUP(A63,'Contribution Allocation_Report'!$A$9:$D$314,4,FALSE)*$D$315,0)</f>
        <v>28624437</v>
      </c>
      <c r="E63" s="213">
        <f>ROUND(VLOOKUP(A63,'Contribution Allocation_Report'!$A$9:$D$314,4,FALSE)*$E$315,0)</f>
        <v>45326963</v>
      </c>
      <c r="F63" s="192"/>
      <c r="J63" s="227">
        <v>2400</v>
      </c>
      <c r="K63" s="282">
        <f t="shared" si="0"/>
        <v>0</v>
      </c>
    </row>
    <row r="64" spans="1:11">
      <c r="A64" s="195">
        <v>2410</v>
      </c>
      <c r="B64" s="196" t="s">
        <v>55</v>
      </c>
      <c r="C64" s="214">
        <f>ROUND(VLOOKUP(A64,'Contribution Allocation_Report'!$A$9:$D$314,4,FALSE)*$C$315,0)</f>
        <v>2201335</v>
      </c>
      <c r="D64" s="214">
        <f>ROUND(VLOOKUP(A64,'Contribution Allocation_Report'!$A$9:$D$314,4,FALSE)*$D$315,0)</f>
        <v>2848559</v>
      </c>
      <c r="E64" s="214">
        <f>ROUND(VLOOKUP(A64,'Contribution Allocation_Report'!$A$9:$D$314,4,FALSE)*$E$315,0)</f>
        <v>4510710</v>
      </c>
      <c r="F64" s="192"/>
      <c r="J64" s="59">
        <v>2410</v>
      </c>
      <c r="K64" s="282">
        <f t="shared" si="0"/>
        <v>0</v>
      </c>
    </row>
    <row r="65" spans="1:11">
      <c r="A65" s="193">
        <v>2500</v>
      </c>
      <c r="B65" s="194" t="s">
        <v>56</v>
      </c>
      <c r="C65" s="213">
        <f>ROUND(VLOOKUP(A65,'Contribution Allocation_Report'!$A$9:$D$314,4,FALSE)*$C$315,0)</f>
        <v>404196</v>
      </c>
      <c r="D65" s="213">
        <f>ROUND(VLOOKUP(A65,'Contribution Allocation_Report'!$A$9:$D$314,4,FALSE)*$D$315,0)</f>
        <v>523035</v>
      </c>
      <c r="E65" s="213">
        <f>ROUND(VLOOKUP(A65,'Contribution Allocation_Report'!$A$9:$D$314,4,FALSE)*$E$315,0)</f>
        <v>828229</v>
      </c>
      <c r="F65" s="192"/>
      <c r="J65" s="227">
        <v>2500</v>
      </c>
      <c r="K65" s="282">
        <f t="shared" si="0"/>
        <v>0</v>
      </c>
    </row>
    <row r="66" spans="1:11">
      <c r="A66" s="195">
        <v>2550</v>
      </c>
      <c r="B66" s="196" t="s">
        <v>57</v>
      </c>
      <c r="C66" s="214">
        <f>ROUND(VLOOKUP(A66,'Contribution Allocation_Report'!$A$9:$D$314,4,FALSE)*$C$315,0)</f>
        <v>1502876</v>
      </c>
      <c r="D66" s="214">
        <f>ROUND(VLOOKUP(A66,'Contribution Allocation_Report'!$A$9:$D$314,4,FALSE)*$D$315,0)</f>
        <v>1944743</v>
      </c>
      <c r="E66" s="214">
        <f>ROUND(VLOOKUP(A66,'Contribution Allocation_Report'!$A$9:$D$314,4,FALSE)*$E$315,0)</f>
        <v>3079511</v>
      </c>
      <c r="F66" s="192"/>
      <c r="J66" s="59">
        <v>2550</v>
      </c>
      <c r="K66" s="282">
        <f t="shared" si="0"/>
        <v>0</v>
      </c>
    </row>
    <row r="67" spans="1:11">
      <c r="A67" s="193">
        <v>2570</v>
      </c>
      <c r="B67" s="194" t="s">
        <v>58</v>
      </c>
      <c r="C67" s="213">
        <f>ROUND(VLOOKUP(A67,'Contribution Allocation_Report'!$A$9:$D$314,4,FALSE)*$C$315,0)</f>
        <v>951332</v>
      </c>
      <c r="D67" s="213">
        <f>ROUND(VLOOKUP(A67,'Contribution Allocation_Report'!$A$9:$D$314,4,FALSE)*$D$315,0)</f>
        <v>1231037</v>
      </c>
      <c r="E67" s="213">
        <f>ROUND(VLOOKUP(A67,'Contribution Allocation_Report'!$A$9:$D$314,4,FALSE)*$E$315,0)</f>
        <v>1949354</v>
      </c>
      <c r="F67" s="192"/>
      <c r="J67" s="227">
        <v>2570</v>
      </c>
      <c r="K67" s="282">
        <f t="shared" si="0"/>
        <v>0</v>
      </c>
    </row>
    <row r="68" spans="1:11">
      <c r="A68" s="195">
        <v>2620</v>
      </c>
      <c r="B68" s="196" t="s">
        <v>59</v>
      </c>
      <c r="C68" s="214">
        <f>ROUND(VLOOKUP(A68,'Contribution Allocation_Report'!$A$9:$D$314,4,FALSE)*$C$315,0)</f>
        <v>9926775</v>
      </c>
      <c r="D68" s="214">
        <f>ROUND(VLOOKUP(A68,'Contribution Allocation_Report'!$A$9:$D$314,4,FALSE)*$D$315,0)</f>
        <v>12845387</v>
      </c>
      <c r="E68" s="214">
        <f>ROUND(VLOOKUP(A68,'Contribution Allocation_Report'!$A$9:$D$314,4,FALSE)*$E$315,0)</f>
        <v>20340744</v>
      </c>
      <c r="F68" s="192"/>
      <c r="J68" s="59">
        <v>2620</v>
      </c>
      <c r="K68" s="282">
        <f t="shared" si="0"/>
        <v>0</v>
      </c>
    </row>
    <row r="69" spans="1:11">
      <c r="A69" s="193">
        <v>2630</v>
      </c>
      <c r="B69" s="194" t="s">
        <v>60</v>
      </c>
      <c r="C69" s="213">
        <f>ROUND(VLOOKUP(A69,'Contribution Allocation_Report'!$A$9:$D$314,4,FALSE)*$C$315,0)</f>
        <v>7123105</v>
      </c>
      <c r="D69" s="213">
        <f>ROUND(VLOOKUP(A69,'Contribution Allocation_Report'!$A$9:$D$314,4,FALSE)*$D$315,0)</f>
        <v>9217397</v>
      </c>
      <c r="E69" s="213">
        <f>ROUND(VLOOKUP(A69,'Contribution Allocation_Report'!$A$9:$D$314,4,FALSE)*$E$315,0)</f>
        <v>14595802</v>
      </c>
      <c r="F69" s="192"/>
      <c r="J69" s="227">
        <v>2630</v>
      </c>
      <c r="K69" s="282">
        <f t="shared" si="0"/>
        <v>0</v>
      </c>
    </row>
    <row r="70" spans="1:11">
      <c r="A70" s="195">
        <v>2690</v>
      </c>
      <c r="B70" s="196" t="s">
        <v>61</v>
      </c>
      <c r="C70" s="214">
        <f>ROUND(VLOOKUP(A70,'Contribution Allocation_Report'!$A$9:$D$314,4,FALSE)*$C$315,0)</f>
        <v>18569835</v>
      </c>
      <c r="D70" s="214">
        <f>ROUND(VLOOKUP(A70,'Contribution Allocation_Report'!$A$9:$D$314,4,FALSE)*$D$315,0)</f>
        <v>24029626</v>
      </c>
      <c r="E70" s="214">
        <f>ROUND(VLOOKUP(A70,'Contribution Allocation_Report'!$A$9:$D$314,4,FALSE)*$E$315,0)</f>
        <v>38051053</v>
      </c>
      <c r="F70" s="192"/>
      <c r="J70" s="59">
        <v>2690</v>
      </c>
      <c r="K70" s="282">
        <f t="shared" si="0"/>
        <v>0</v>
      </c>
    </row>
    <row r="71" spans="1:11">
      <c r="A71" s="193">
        <v>2710</v>
      </c>
      <c r="B71" s="194" t="s">
        <v>62</v>
      </c>
      <c r="C71" s="213">
        <f>ROUND(VLOOKUP(A71,'Contribution Allocation_Report'!$A$9:$D$314,4,FALSE)*$C$315,0)</f>
        <v>175950</v>
      </c>
      <c r="D71" s="213">
        <f>ROUND(VLOOKUP(A71,'Contribution Allocation_Report'!$A$9:$D$314,4,FALSE)*$D$315,0)</f>
        <v>227681</v>
      </c>
      <c r="E71" s="213">
        <f>ROUND(VLOOKUP(A71,'Contribution Allocation_Report'!$A$9:$D$314,4,FALSE)*$E$315,0)</f>
        <v>360535</v>
      </c>
      <c r="F71" s="192"/>
      <c r="J71" s="227">
        <v>2710</v>
      </c>
      <c r="K71" s="282">
        <f t="shared" si="0"/>
        <v>0</v>
      </c>
    </row>
    <row r="72" spans="1:11">
      <c r="A72" s="195">
        <v>2730</v>
      </c>
      <c r="B72" s="196" t="s">
        <v>63</v>
      </c>
      <c r="C72" s="214">
        <f>ROUND(VLOOKUP(A72,'Contribution Allocation_Report'!$A$9:$D$314,4,FALSE)*$C$315,0)</f>
        <v>1520409</v>
      </c>
      <c r="D72" s="214">
        <f>ROUND(VLOOKUP(A72,'Contribution Allocation_Report'!$A$9:$D$314,4,FALSE)*$D$315,0)</f>
        <v>1967431</v>
      </c>
      <c r="E72" s="214">
        <f>ROUND(VLOOKUP(A72,'Contribution Allocation_Report'!$A$9:$D$314,4,FALSE)*$E$315,0)</f>
        <v>3115438</v>
      </c>
      <c r="F72" s="192"/>
      <c r="J72" s="59">
        <v>2730</v>
      </c>
      <c r="K72" s="282">
        <f t="shared" si="0"/>
        <v>0</v>
      </c>
    </row>
    <row r="73" spans="1:11">
      <c r="A73" s="193">
        <v>2950</v>
      </c>
      <c r="B73" s="194" t="s">
        <v>64</v>
      </c>
      <c r="C73" s="213">
        <f>ROUND(VLOOKUP(A73,'Contribution Allocation_Report'!$A$9:$D$314,4,FALSE)*$C$315,0)</f>
        <v>1115217</v>
      </c>
      <c r="D73" s="213">
        <f>ROUND(VLOOKUP(A73,'Contribution Allocation_Report'!$A$9:$D$314,4,FALSE)*$D$315,0)</f>
        <v>1443107</v>
      </c>
      <c r="E73" s="213">
        <f>ROUND(VLOOKUP(A73,'Contribution Allocation_Report'!$A$9:$D$314,4,FALSE)*$E$315,0)</f>
        <v>2285168</v>
      </c>
      <c r="F73" s="192"/>
      <c r="J73" s="227">
        <v>2950</v>
      </c>
      <c r="K73" s="282">
        <f t="shared" si="0"/>
        <v>0</v>
      </c>
    </row>
    <row r="74" spans="1:11">
      <c r="A74" s="195">
        <v>2760</v>
      </c>
      <c r="B74" s="196" t="s">
        <v>65</v>
      </c>
      <c r="C74" s="214">
        <f>ROUND(VLOOKUP(A74,'Contribution Allocation_Report'!$A$9:$D$314,4,FALSE)*$C$315,0)</f>
        <v>936939</v>
      </c>
      <c r="D74" s="214">
        <f>ROUND(VLOOKUP(A74,'Contribution Allocation_Report'!$A$9:$D$314,4,FALSE)*$D$315,0)</f>
        <v>1212413</v>
      </c>
      <c r="E74" s="214">
        <f>ROUND(VLOOKUP(A74,'Contribution Allocation_Report'!$A$9:$D$314,4,FALSE)*$E$315,0)</f>
        <v>1919863</v>
      </c>
      <c r="F74" s="192"/>
      <c r="J74" s="59">
        <v>2760</v>
      </c>
      <c r="K74" s="282">
        <f t="shared" ref="K74:K138" si="1">+A74-J74</f>
        <v>0</v>
      </c>
    </row>
    <row r="75" spans="1:11">
      <c r="A75" s="193">
        <v>2780</v>
      </c>
      <c r="B75" s="194" t="s">
        <v>66</v>
      </c>
      <c r="C75" s="213">
        <f>ROUND(VLOOKUP(A75,'Contribution Allocation_Report'!$A$9:$D$314,4,FALSE)*$C$315,0)</f>
        <v>81417</v>
      </c>
      <c r="D75" s="213">
        <f>ROUND(VLOOKUP(A75,'Contribution Allocation_Report'!$A$9:$D$314,4,FALSE)*$D$315,0)</f>
        <v>105355</v>
      </c>
      <c r="E75" s="213">
        <f>ROUND(VLOOKUP(A75,'Contribution Allocation_Report'!$A$9:$D$314,4,FALSE)*$E$315,0)</f>
        <v>166831</v>
      </c>
      <c r="F75" s="192"/>
      <c r="J75" s="227">
        <v>2780</v>
      </c>
      <c r="K75" s="282">
        <f t="shared" si="1"/>
        <v>0</v>
      </c>
    </row>
    <row r="76" spans="1:11">
      <c r="A76" s="195">
        <v>2810</v>
      </c>
      <c r="B76" s="196" t="s">
        <v>67</v>
      </c>
      <c r="C76" s="214">
        <f>ROUND(VLOOKUP(A76,'Contribution Allocation_Report'!$A$9:$D$314,4,FALSE)*$C$315,0)</f>
        <v>726032</v>
      </c>
      <c r="D76" s="214">
        <f>ROUND(VLOOKUP(A76,'Contribution Allocation_Report'!$A$9:$D$314,4,FALSE)*$D$315,0)</f>
        <v>939495</v>
      </c>
      <c r="E76" s="214">
        <f>ROUND(VLOOKUP(A76,'Contribution Allocation_Report'!$A$9:$D$314,4,FALSE)*$E$315,0)</f>
        <v>1487696</v>
      </c>
      <c r="F76" s="192"/>
      <c r="J76" s="59">
        <v>2810</v>
      </c>
      <c r="K76" s="282">
        <f t="shared" si="1"/>
        <v>0</v>
      </c>
    </row>
    <row r="77" spans="1:11">
      <c r="A77" s="193">
        <v>18056</v>
      </c>
      <c r="B77" s="194" t="s">
        <v>68</v>
      </c>
      <c r="C77" s="213">
        <f>ROUND(VLOOKUP(A77,'Contribution Allocation_Report'!$A$9:$D$314,4,FALSE)*$C$315,0)</f>
        <v>929467</v>
      </c>
      <c r="D77" s="213">
        <f>ROUND(VLOOKUP(A77,'Contribution Allocation_Report'!$A$9:$D$314,4,FALSE)*$D$315,0)</f>
        <v>1202743</v>
      </c>
      <c r="E77" s="213">
        <f>ROUND(VLOOKUP(A77,'Contribution Allocation_Report'!$A$9:$D$314,4,FALSE)*$E$315,0)</f>
        <v>1904551</v>
      </c>
      <c r="F77" s="192"/>
      <c r="J77" s="227">
        <v>18056</v>
      </c>
      <c r="K77" s="282">
        <f t="shared" si="1"/>
        <v>0</v>
      </c>
    </row>
    <row r="78" spans="1:11">
      <c r="A78" s="195">
        <v>15047</v>
      </c>
      <c r="B78" s="196" t="s">
        <v>69</v>
      </c>
      <c r="C78" s="214">
        <f>ROUND(VLOOKUP(A78,'Contribution Allocation_Report'!$A$9:$D$314,4,FALSE)*$C$315,0)</f>
        <v>841736</v>
      </c>
      <c r="D78" s="214">
        <f>ROUND(VLOOKUP(A78,'Contribution Allocation_Report'!$A$9:$D$314,4,FALSE)*$D$315,0)</f>
        <v>1089218</v>
      </c>
      <c r="E78" s="214">
        <f>ROUND(VLOOKUP(A78,'Contribution Allocation_Report'!$A$9:$D$314,4,FALSE)*$E$315,0)</f>
        <v>1724783</v>
      </c>
      <c r="F78" s="192"/>
      <c r="J78" s="59">
        <v>15047</v>
      </c>
      <c r="K78" s="282">
        <f t="shared" si="1"/>
        <v>0</v>
      </c>
    </row>
    <row r="79" spans="1:11">
      <c r="A79" s="195">
        <v>5012</v>
      </c>
      <c r="B79" s="223" t="s">
        <v>70</v>
      </c>
      <c r="C79" s="238">
        <f>ROUND(VLOOKUP(A79,'Contribution Allocation_Report'!$A$9:$D$314,4,FALSE)*$C$315,0)</f>
        <v>14577803</v>
      </c>
      <c r="D79" s="238">
        <f>ROUND(VLOOKUP(A79,'Contribution Allocation_Report'!$A$9:$D$314,4,FALSE)*$D$315,0)</f>
        <v>18863881</v>
      </c>
      <c r="E79" s="238">
        <f>ROUND(VLOOKUP(A79,'Contribution Allocation_Report'!$A$9:$D$314,4,FALSE)*$E$315,0)</f>
        <v>29871066</v>
      </c>
      <c r="F79" s="192"/>
      <c r="J79" s="227">
        <v>5012</v>
      </c>
      <c r="K79" s="282">
        <f t="shared" si="1"/>
        <v>0</v>
      </c>
    </row>
    <row r="80" spans="1:11">
      <c r="A80" s="193">
        <v>8024</v>
      </c>
      <c r="B80" s="194" t="s">
        <v>71</v>
      </c>
      <c r="C80" s="213">
        <f>ROUND(VLOOKUP(A80,'Contribution Allocation_Report'!$A$9:$D$314,4,FALSE)*$C$315,0)</f>
        <v>2748688</v>
      </c>
      <c r="D80" s="213">
        <f>ROUND(VLOOKUP(A80,'Contribution Allocation_Report'!$A$9:$D$314,4,FALSE)*$D$315,0)</f>
        <v>3556841</v>
      </c>
      <c r="E80" s="213">
        <f>ROUND(VLOOKUP(A80,'Contribution Allocation_Report'!$A$9:$D$314,4,FALSE)*$E$315,0)</f>
        <v>5632279</v>
      </c>
      <c r="F80" s="192"/>
      <c r="J80" s="59">
        <v>8024</v>
      </c>
      <c r="K80" s="282">
        <f t="shared" si="1"/>
        <v>0</v>
      </c>
    </row>
    <row r="81" spans="1:11">
      <c r="A81" s="195">
        <v>3050</v>
      </c>
      <c r="B81" s="196" t="s">
        <v>72</v>
      </c>
      <c r="C81" s="214">
        <f>ROUND(VLOOKUP(A81,'Contribution Allocation_Report'!$A$9:$D$314,4,FALSE)*$C$315,0)</f>
        <v>1023024</v>
      </c>
      <c r="D81" s="214">
        <f>ROUND(VLOOKUP(A81,'Contribution Allocation_Report'!$A$9:$D$314,4,FALSE)*$D$315,0)</f>
        <v>1323808</v>
      </c>
      <c r="E81" s="214">
        <f>ROUND(VLOOKUP(A81,'Contribution Allocation_Report'!$A$9:$D$314,4,FALSE)*$E$315,0)</f>
        <v>2096258</v>
      </c>
      <c r="F81" s="192"/>
      <c r="J81" s="227">
        <v>3050</v>
      </c>
      <c r="K81" s="282">
        <f t="shared" si="1"/>
        <v>0</v>
      </c>
    </row>
    <row r="82" spans="1:11">
      <c r="A82" s="193">
        <v>2421</v>
      </c>
      <c r="B82" s="194" t="s">
        <v>73</v>
      </c>
      <c r="C82" s="213">
        <f>ROUND(VLOOKUP(A82,'Contribution Allocation_Report'!$A$9:$D$314,4,FALSE)*$C$315,0)</f>
        <v>336434</v>
      </c>
      <c r="D82" s="213">
        <f>ROUND(VLOOKUP(A82,'Contribution Allocation_Report'!$A$9:$D$314,4,FALSE)*$D$315,0)</f>
        <v>435351</v>
      </c>
      <c r="E82" s="213">
        <f>ROUND(VLOOKUP(A82,'Contribution Allocation_Report'!$A$9:$D$314,4,FALSE)*$E$315,0)</f>
        <v>689381</v>
      </c>
      <c r="F82" s="192"/>
      <c r="J82" s="59">
        <v>2421</v>
      </c>
      <c r="K82" s="282">
        <f t="shared" si="1"/>
        <v>0</v>
      </c>
    </row>
    <row r="83" spans="1:11">
      <c r="A83" s="195">
        <v>26079</v>
      </c>
      <c r="B83" s="196" t="s">
        <v>74</v>
      </c>
      <c r="C83" s="214">
        <f>ROUND(VLOOKUP(A83,'Contribution Allocation_Report'!$A$9:$D$314,4,FALSE)*$C$315,0)</f>
        <v>357509</v>
      </c>
      <c r="D83" s="214">
        <f>ROUND(VLOOKUP(A83,'Contribution Allocation_Report'!$A$9:$D$314,4,FALSE)*$D$315,0)</f>
        <v>462622</v>
      </c>
      <c r="E83" s="214">
        <f>ROUND(VLOOKUP(A83,'Contribution Allocation_Report'!$A$9:$D$314,4,FALSE)*$E$315,0)</f>
        <v>732564</v>
      </c>
      <c r="F83" s="192"/>
      <c r="J83" s="227">
        <v>26079</v>
      </c>
      <c r="K83" s="282">
        <f t="shared" si="1"/>
        <v>0</v>
      </c>
    </row>
    <row r="84" spans="1:11">
      <c r="A84" s="193">
        <v>2363</v>
      </c>
      <c r="B84" s="194" t="s">
        <v>75</v>
      </c>
      <c r="C84" s="213">
        <f>ROUND(VLOOKUP(A84,'Contribution Allocation_Report'!$A$9:$D$314,4,FALSE)*$C$315,0)</f>
        <v>406351</v>
      </c>
      <c r="D84" s="213">
        <f>ROUND(VLOOKUP(A84,'Contribution Allocation_Report'!$A$9:$D$314,4,FALSE)*$D$315,0)</f>
        <v>525824</v>
      </c>
      <c r="E84" s="213">
        <f>ROUND(VLOOKUP(A84,'Contribution Allocation_Report'!$A$9:$D$314,4,FALSE)*$E$315,0)</f>
        <v>832645</v>
      </c>
      <c r="F84" s="192"/>
      <c r="J84" s="59">
        <v>2363</v>
      </c>
      <c r="K84" s="282">
        <f t="shared" si="1"/>
        <v>0</v>
      </c>
    </row>
    <row r="85" spans="1:11">
      <c r="A85" s="195">
        <v>2364</v>
      </c>
      <c r="B85" s="196" t="s">
        <v>76</v>
      </c>
      <c r="C85" s="214">
        <f>ROUND(VLOOKUP(A85,'Contribution Allocation_Report'!$A$9:$D$314,4,FALSE)*$C$315,0)</f>
        <v>1323591</v>
      </c>
      <c r="D85" s="214">
        <f>ROUND(VLOOKUP(A85,'Contribution Allocation_Report'!$A$9:$D$314,4,FALSE)*$D$315,0)</f>
        <v>1712745</v>
      </c>
      <c r="E85" s="214">
        <f>ROUND(VLOOKUP(A85,'Contribution Allocation_Report'!$A$9:$D$314,4,FALSE)*$E$315,0)</f>
        <v>2712142</v>
      </c>
      <c r="F85" s="192"/>
      <c r="J85" s="227">
        <v>2364</v>
      </c>
      <c r="K85" s="282">
        <f t="shared" si="1"/>
        <v>0</v>
      </c>
    </row>
    <row r="86" spans="1:11">
      <c r="A86" s="193">
        <v>25319</v>
      </c>
      <c r="B86" s="194" t="s">
        <v>77</v>
      </c>
      <c r="C86" s="213">
        <f>ROUND(VLOOKUP(A86,'Contribution Allocation_Report'!$A$9:$D$314,4,FALSE)*$C$315,0)</f>
        <v>265533</v>
      </c>
      <c r="D86" s="213">
        <f>ROUND(VLOOKUP(A86,'Contribution Allocation_Report'!$A$9:$D$314,4,FALSE)*$D$315,0)</f>
        <v>343603</v>
      </c>
      <c r="E86" s="213">
        <f>ROUND(VLOOKUP(A86,'Contribution Allocation_Report'!$A$9:$D$314,4,FALSE)*$E$315,0)</f>
        <v>544097</v>
      </c>
      <c r="F86" s="192"/>
      <c r="J86" s="59">
        <v>25319</v>
      </c>
      <c r="K86" s="282">
        <f t="shared" si="1"/>
        <v>0</v>
      </c>
    </row>
    <row r="87" spans="1:11">
      <c r="A87" s="195">
        <v>29087</v>
      </c>
      <c r="B87" s="210" t="s">
        <v>78</v>
      </c>
      <c r="C87" s="214">
        <f>ROUND(VLOOKUP(A87,'Contribution Allocation_Report'!$A$9:$D$314,4,FALSE)*$C$315,0)</f>
        <v>2653777</v>
      </c>
      <c r="D87" s="214">
        <f>ROUND(VLOOKUP(A87,'Contribution Allocation_Report'!$A$9:$D$314,4,FALSE)*$D$315,0)</f>
        <v>3434025</v>
      </c>
      <c r="E87" s="214">
        <f>ROUND(VLOOKUP(A87,'Contribution Allocation_Report'!$A$9:$D$314,4,FALSE)*$E$315,0)</f>
        <v>5437798</v>
      </c>
      <c r="F87" s="192"/>
      <c r="J87" s="227">
        <v>29087</v>
      </c>
      <c r="K87" s="282">
        <f t="shared" si="1"/>
        <v>0</v>
      </c>
    </row>
    <row r="88" spans="1:11">
      <c r="A88" s="193">
        <v>3060</v>
      </c>
      <c r="B88" s="194" t="s">
        <v>79</v>
      </c>
      <c r="C88" s="213">
        <f>ROUND(VLOOKUP(A88,'Contribution Allocation_Report'!$A$9:$D$314,4,FALSE)*$C$315,0)</f>
        <v>1541863</v>
      </c>
      <c r="D88" s="213">
        <f>ROUND(VLOOKUP(A88,'Contribution Allocation_Report'!$A$9:$D$314,4,FALSE)*$D$315,0)</f>
        <v>1995192</v>
      </c>
      <c r="E88" s="213">
        <f>ROUND(VLOOKUP(A88,'Contribution Allocation_Report'!$A$9:$D$314,4,FALSE)*$E$315,0)</f>
        <v>3159398</v>
      </c>
      <c r="F88" s="192"/>
      <c r="J88" s="59">
        <v>3060</v>
      </c>
      <c r="K88" s="282">
        <f t="shared" si="1"/>
        <v>0</v>
      </c>
    </row>
    <row r="89" spans="1:11">
      <c r="A89" s="195">
        <v>19301</v>
      </c>
      <c r="B89" s="196" t="s">
        <v>80</v>
      </c>
      <c r="C89" s="214">
        <f>ROUND(VLOOKUP(A89,'Contribution Allocation_Report'!$A$9:$D$314,4,FALSE)*$C$315,0)</f>
        <v>303480</v>
      </c>
      <c r="D89" s="214">
        <f>ROUND(VLOOKUP(A89,'Contribution Allocation_Report'!$A$9:$D$314,4,FALSE)*$D$315,0)</f>
        <v>392707</v>
      </c>
      <c r="E89" s="214">
        <f>ROUND(VLOOKUP(A89,'Contribution Allocation_Report'!$A$9:$D$314,4,FALSE)*$E$315,0)</f>
        <v>621854</v>
      </c>
      <c r="F89" s="192"/>
      <c r="J89" s="227">
        <v>19301</v>
      </c>
      <c r="K89" s="282">
        <f t="shared" si="1"/>
        <v>0</v>
      </c>
    </row>
    <row r="90" spans="1:11">
      <c r="A90" s="193">
        <v>19059</v>
      </c>
      <c r="B90" s="194" t="s">
        <v>81</v>
      </c>
      <c r="C90" s="213">
        <f>ROUND(VLOOKUP(A90,'Contribution Allocation_Report'!$A$9:$D$314,4,FALSE)*$C$315,0)</f>
        <v>9704659</v>
      </c>
      <c r="D90" s="213">
        <f>ROUND(VLOOKUP(A90,'Contribution Allocation_Report'!$A$9:$D$314,4,FALSE)*$D$315,0)</f>
        <v>12557965</v>
      </c>
      <c r="E90" s="213">
        <f>ROUND(VLOOKUP(A90,'Contribution Allocation_Report'!$A$9:$D$314,4,FALSE)*$E$315,0)</f>
        <v>19885610</v>
      </c>
      <c r="F90" s="192"/>
      <c r="J90" s="59">
        <v>19059</v>
      </c>
      <c r="K90" s="282">
        <f t="shared" si="1"/>
        <v>0</v>
      </c>
    </row>
    <row r="91" spans="1:11">
      <c r="A91" s="195">
        <v>18057</v>
      </c>
      <c r="B91" s="196" t="s">
        <v>82</v>
      </c>
      <c r="C91" s="214">
        <f>ROUND(VLOOKUP(A91,'Contribution Allocation_Report'!$A$9:$D$314,4,FALSE)*$C$315,0)</f>
        <v>411311</v>
      </c>
      <c r="D91" s="214">
        <f>ROUND(VLOOKUP(A91,'Contribution Allocation_Report'!$A$9:$D$314,4,FALSE)*$D$315,0)</f>
        <v>532242</v>
      </c>
      <c r="E91" s="214">
        <f>ROUND(VLOOKUP(A91,'Contribution Allocation_Report'!$A$9:$D$314,4,FALSE)*$E$315,0)</f>
        <v>842808</v>
      </c>
      <c r="F91" s="192"/>
      <c r="J91" s="227">
        <v>18057</v>
      </c>
      <c r="K91" s="282">
        <f t="shared" si="1"/>
        <v>0</v>
      </c>
    </row>
    <row r="92" spans="1:11">
      <c r="A92" s="193">
        <v>4008</v>
      </c>
      <c r="B92" s="194" t="s">
        <v>83</v>
      </c>
      <c r="C92" s="213">
        <f>ROUND(VLOOKUP(A92,'Contribution Allocation_Report'!$A$9:$D$314,4,FALSE)*$C$315,0)</f>
        <v>1622544</v>
      </c>
      <c r="D92" s="213">
        <f>ROUND(VLOOKUP(A92,'Contribution Allocation_Report'!$A$9:$D$314,4,FALSE)*$D$315,0)</f>
        <v>2099595</v>
      </c>
      <c r="E92" s="213">
        <f>ROUND(VLOOKUP(A92,'Contribution Allocation_Report'!$A$9:$D$314,4,FALSE)*$E$315,0)</f>
        <v>3324720</v>
      </c>
      <c r="F92" s="192"/>
      <c r="J92" s="59">
        <v>4008</v>
      </c>
      <c r="K92" s="282">
        <f t="shared" si="1"/>
        <v>0</v>
      </c>
    </row>
    <row r="93" spans="1:11">
      <c r="A93" s="195">
        <v>2350</v>
      </c>
      <c r="B93" s="196" t="s">
        <v>84</v>
      </c>
      <c r="C93" s="214">
        <f>ROUND(VLOOKUP(A93,'Contribution Allocation_Report'!$A$9:$D$314,4,FALSE)*$C$315,0)</f>
        <v>534097</v>
      </c>
      <c r="D93" s="214">
        <f>ROUND(VLOOKUP(A93,'Contribution Allocation_Report'!$A$9:$D$314,4,FALSE)*$D$315,0)</f>
        <v>691130</v>
      </c>
      <c r="E93" s="214">
        <f>ROUND(VLOOKUP(A93,'Contribution Allocation_Report'!$A$9:$D$314,4,FALSE)*$E$315,0)</f>
        <v>1094408</v>
      </c>
      <c r="F93" s="192"/>
      <c r="J93" s="227">
        <v>2350</v>
      </c>
      <c r="K93" s="282">
        <f t="shared" si="1"/>
        <v>0</v>
      </c>
    </row>
    <row r="94" spans="1:11">
      <c r="A94" s="193">
        <v>11117</v>
      </c>
      <c r="B94" s="194" t="s">
        <v>85</v>
      </c>
      <c r="C94" s="213">
        <f>ROUND(VLOOKUP(A94,'Contribution Allocation_Report'!$A$9:$D$314,4,FALSE)*$C$315,0)</f>
        <v>510944</v>
      </c>
      <c r="D94" s="213">
        <f>ROUND(VLOOKUP(A94,'Contribution Allocation_Report'!$A$9:$D$314,4,FALSE)*$D$315,0)</f>
        <v>661168</v>
      </c>
      <c r="E94" s="213">
        <f>ROUND(VLOOKUP(A94,'Contribution Allocation_Report'!$A$9:$D$314,4,FALSE)*$E$315,0)</f>
        <v>1046964</v>
      </c>
      <c r="F94" s="192"/>
      <c r="J94" s="59">
        <v>11117</v>
      </c>
      <c r="K94" s="282">
        <f t="shared" si="1"/>
        <v>0</v>
      </c>
    </row>
    <row r="95" spans="1:11">
      <c r="A95" s="195">
        <v>16359</v>
      </c>
      <c r="B95" s="196" t="s">
        <v>86</v>
      </c>
      <c r="C95" s="214">
        <f>ROUND(VLOOKUP(A95,'Contribution Allocation_Report'!$A$9:$D$314,4,FALSE)*$C$315,0)</f>
        <v>111015</v>
      </c>
      <c r="D95" s="214">
        <f>ROUND(VLOOKUP(A95,'Contribution Allocation_Report'!$A$9:$D$314,4,FALSE)*$D$315,0)</f>
        <v>143655</v>
      </c>
      <c r="E95" s="214">
        <f>ROUND(VLOOKUP(A95,'Contribution Allocation_Report'!$A$9:$D$314,4,FALSE)*$E$315,0)</f>
        <v>227478</v>
      </c>
      <c r="F95" s="192"/>
      <c r="J95" s="227">
        <v>16359</v>
      </c>
      <c r="K95" s="282">
        <f t="shared" si="1"/>
        <v>0</v>
      </c>
    </row>
    <row r="96" spans="1:11">
      <c r="A96" s="193">
        <v>17115</v>
      </c>
      <c r="B96" s="194" t="s">
        <v>87</v>
      </c>
      <c r="C96" s="213">
        <f>ROUND(VLOOKUP(A96,'Contribution Allocation_Report'!$A$9:$D$314,4,FALSE)*$C$315,0)</f>
        <v>1974367</v>
      </c>
      <c r="D96" s="213">
        <f>ROUND(VLOOKUP(A96,'Contribution Allocation_Report'!$A$9:$D$314,4,FALSE)*$D$315,0)</f>
        <v>2554859</v>
      </c>
      <c r="E96" s="213">
        <f>ROUND(VLOOKUP(A96,'Contribution Allocation_Report'!$A$9:$D$314,4,FALSE)*$E$315,0)</f>
        <v>4045634</v>
      </c>
      <c r="F96" s="192"/>
      <c r="J96" s="59">
        <v>17115</v>
      </c>
      <c r="K96" s="282">
        <f t="shared" si="1"/>
        <v>0</v>
      </c>
    </row>
    <row r="97" spans="1:11">
      <c r="A97" s="195">
        <v>32117</v>
      </c>
      <c r="B97" s="196" t="s">
        <v>88</v>
      </c>
      <c r="C97" s="214">
        <f>ROUND(VLOOKUP(A97,'Contribution Allocation_Report'!$A$9:$D$314,4,FALSE)*$C$315,0)</f>
        <v>158059</v>
      </c>
      <c r="D97" s="214">
        <f>ROUND(VLOOKUP(A97,'Contribution Allocation_Report'!$A$9:$D$314,4,FALSE)*$D$315,0)</f>
        <v>204531</v>
      </c>
      <c r="E97" s="214">
        <f>ROUND(VLOOKUP(A97,'Contribution Allocation_Report'!$A$9:$D$314,4,FALSE)*$E$315,0)</f>
        <v>323875</v>
      </c>
      <c r="F97" s="192"/>
      <c r="J97" s="227">
        <v>32117</v>
      </c>
      <c r="K97" s="282">
        <f t="shared" si="1"/>
        <v>0</v>
      </c>
    </row>
    <row r="98" spans="1:11">
      <c r="A98" s="193">
        <v>2304</v>
      </c>
      <c r="B98" s="194" t="s">
        <v>89</v>
      </c>
      <c r="C98" s="213">
        <f>ROUND(VLOOKUP(A98,'Contribution Allocation_Report'!$A$9:$D$314,4,FALSE)*$C$315,0)</f>
        <v>699456</v>
      </c>
      <c r="D98" s="213">
        <f>ROUND(VLOOKUP(A98,'Contribution Allocation_Report'!$A$9:$D$314,4,FALSE)*$D$315,0)</f>
        <v>905105</v>
      </c>
      <c r="E98" s="213">
        <f>ROUND(VLOOKUP(A98,'Contribution Allocation_Report'!$A$9:$D$314,4,FALSE)*$E$315,0)</f>
        <v>1433240</v>
      </c>
      <c r="F98" s="192"/>
      <c r="J98" s="59">
        <v>2304</v>
      </c>
      <c r="K98" s="282">
        <f t="shared" si="1"/>
        <v>0</v>
      </c>
    </row>
    <row r="99" spans="1:11">
      <c r="A99" s="195">
        <v>11101</v>
      </c>
      <c r="B99" s="196" t="s">
        <v>91</v>
      </c>
      <c r="C99" s="214">
        <f>ROUND(VLOOKUP(A99,'Contribution Allocation_Report'!$A$9:$D$314,4,FALSE)*$C$315,0)</f>
        <v>8075076</v>
      </c>
      <c r="D99" s="214">
        <f>ROUND(VLOOKUP(A99,'Contribution Allocation_Report'!$A$9:$D$314,4,FALSE)*$D$315,0)</f>
        <v>10449261</v>
      </c>
      <c r="E99" s="214">
        <f>ROUND(VLOOKUP(A99,'Contribution Allocation_Report'!$A$9:$D$314,4,FALSE)*$E$315,0)</f>
        <v>16546466</v>
      </c>
      <c r="F99" s="192"/>
      <c r="J99" s="227">
        <v>11101</v>
      </c>
      <c r="K99" s="282">
        <f t="shared" si="1"/>
        <v>0</v>
      </c>
    </row>
    <row r="100" spans="1:11">
      <c r="A100" s="193">
        <v>11102</v>
      </c>
      <c r="B100" s="194" t="s">
        <v>90</v>
      </c>
      <c r="C100" s="213">
        <f>ROUND(VLOOKUP(A100,'Contribution Allocation_Report'!$A$9:$D$314,4,FALSE)*$C$315,0)</f>
        <v>2805198</v>
      </c>
      <c r="D100" s="213">
        <f>ROUND(VLOOKUP(A100,'Contribution Allocation_Report'!$A$9:$D$314,4,FALSE)*$D$315,0)</f>
        <v>3629965</v>
      </c>
      <c r="E100" s="213">
        <f>ROUND(VLOOKUP(A100,'Contribution Allocation_Report'!$A$9:$D$314,4,FALSE)*$E$315,0)</f>
        <v>5748071</v>
      </c>
      <c r="F100" s="192"/>
      <c r="J100" s="59">
        <v>11102</v>
      </c>
      <c r="K100" s="282">
        <f t="shared" si="1"/>
        <v>0</v>
      </c>
    </row>
    <row r="101" spans="1:11">
      <c r="A101" s="195">
        <v>3100</v>
      </c>
      <c r="B101" s="196" t="s">
        <v>92</v>
      </c>
      <c r="C101" s="214">
        <f>ROUND(VLOOKUP(A101,'Contribution Allocation_Report'!$A$9:$D$314,4,FALSE)*$C$315,0)</f>
        <v>5741792</v>
      </c>
      <c r="D101" s="214">
        <f>ROUND(VLOOKUP(A101,'Contribution Allocation_Report'!$A$9:$D$314,4,FALSE)*$D$315,0)</f>
        <v>7429959</v>
      </c>
      <c r="E101" s="214">
        <f>ROUND(VLOOKUP(A101,'Contribution Allocation_Report'!$A$9:$D$314,4,FALSE)*$E$315,0)</f>
        <v>11765383</v>
      </c>
      <c r="F101" s="192"/>
      <c r="J101" s="227">
        <v>3100</v>
      </c>
      <c r="K101" s="282">
        <f t="shared" si="1"/>
        <v>0</v>
      </c>
    </row>
    <row r="102" spans="1:11">
      <c r="A102" s="193">
        <v>2323</v>
      </c>
      <c r="B102" s="194" t="s">
        <v>93</v>
      </c>
      <c r="C102" s="213">
        <f>ROUND(VLOOKUP(A102,'Contribution Allocation_Report'!$A$9:$D$314,4,FALSE)*$C$315,0)</f>
        <v>567106</v>
      </c>
      <c r="D102" s="213">
        <f>ROUND(VLOOKUP(A102,'Contribution Allocation_Report'!$A$9:$D$314,4,FALSE)*$D$315,0)</f>
        <v>733844</v>
      </c>
      <c r="E102" s="213">
        <f>ROUND(VLOOKUP(A102,'Contribution Allocation_Report'!$A$9:$D$314,4,FALSE)*$E$315,0)</f>
        <v>1162045</v>
      </c>
      <c r="F102" s="192"/>
      <c r="J102" s="59">
        <v>2323</v>
      </c>
      <c r="K102" s="282">
        <f t="shared" si="1"/>
        <v>0</v>
      </c>
    </row>
    <row r="103" spans="1:11">
      <c r="A103" s="195">
        <v>11034</v>
      </c>
      <c r="B103" s="196" t="s">
        <v>94</v>
      </c>
      <c r="C103" s="214">
        <f>ROUND(VLOOKUP(A103,'Contribution Allocation_Report'!$A$9:$D$314,4,FALSE)*$C$315,0)</f>
        <v>439847</v>
      </c>
      <c r="D103" s="214">
        <f>ROUND(VLOOKUP(A103,'Contribution Allocation_Report'!$A$9:$D$314,4,FALSE)*$D$315,0)</f>
        <v>569168</v>
      </c>
      <c r="E103" s="214">
        <f>ROUND(VLOOKUP(A103,'Contribution Allocation_Report'!$A$9:$D$314,4,FALSE)*$E$315,0)</f>
        <v>901281</v>
      </c>
      <c r="F103" s="192"/>
      <c r="J103" s="227">
        <v>11034</v>
      </c>
      <c r="K103" s="282">
        <f t="shared" si="1"/>
        <v>0</v>
      </c>
    </row>
    <row r="104" spans="1:11">
      <c r="A104" s="193">
        <v>17054</v>
      </c>
      <c r="B104" s="194" t="s">
        <v>95</v>
      </c>
      <c r="C104" s="213">
        <f>ROUND(VLOOKUP(A104,'Contribution Allocation_Report'!$A$9:$D$314,4,FALSE)*$C$315,0)</f>
        <v>5905839</v>
      </c>
      <c r="D104" s="213">
        <f>ROUND(VLOOKUP(A104,'Contribution Allocation_Report'!$A$9:$D$314,4,FALSE)*$D$315,0)</f>
        <v>7642239</v>
      </c>
      <c r="E104" s="213">
        <f>ROUND(VLOOKUP(A104,'Contribution Allocation_Report'!$A$9:$D$314,4,FALSE)*$E$315,0)</f>
        <v>12101530</v>
      </c>
      <c r="F104" s="192"/>
      <c r="J104" s="59">
        <v>17054</v>
      </c>
      <c r="K104" s="282">
        <f t="shared" si="1"/>
        <v>0</v>
      </c>
    </row>
    <row r="105" spans="1:11">
      <c r="A105" s="195">
        <v>22065</v>
      </c>
      <c r="B105" s="196" t="s">
        <v>96</v>
      </c>
      <c r="C105" s="214">
        <f>ROUND(VLOOKUP(A105,'Contribution Allocation_Report'!$A$9:$D$314,4,FALSE)*$C$315,0)</f>
        <v>1510175</v>
      </c>
      <c r="D105" s="214">
        <f>ROUND(VLOOKUP(A105,'Contribution Allocation_Report'!$A$9:$D$314,4,FALSE)*$D$315,0)</f>
        <v>1954188</v>
      </c>
      <c r="E105" s="214">
        <f>ROUND(VLOOKUP(A105,'Contribution Allocation_Report'!$A$9:$D$314,4,FALSE)*$E$315,0)</f>
        <v>3094468</v>
      </c>
      <c r="F105" s="192"/>
      <c r="J105" s="227">
        <v>22065</v>
      </c>
      <c r="K105" s="282">
        <f t="shared" si="1"/>
        <v>0</v>
      </c>
    </row>
    <row r="106" spans="1:11">
      <c r="A106" s="193">
        <v>22201</v>
      </c>
      <c r="B106" s="194" t="s">
        <v>97</v>
      </c>
      <c r="C106" s="213">
        <f>ROUND(VLOOKUP(A106,'Contribution Allocation_Report'!$A$9:$D$314,4,FALSE)*$C$315,0)</f>
        <v>886776</v>
      </c>
      <c r="D106" s="213">
        <f>ROUND(VLOOKUP(A106,'Contribution Allocation_Report'!$A$9:$D$314,4,FALSE)*$D$315,0)</f>
        <v>1147501</v>
      </c>
      <c r="E106" s="213">
        <f>ROUND(VLOOKUP(A106,'Contribution Allocation_Report'!$A$9:$D$314,4,FALSE)*$E$315,0)</f>
        <v>1817075</v>
      </c>
      <c r="F106" s="192"/>
      <c r="J106" s="59">
        <v>22201</v>
      </c>
      <c r="K106" s="282">
        <f t="shared" si="1"/>
        <v>0</v>
      </c>
    </row>
    <row r="107" spans="1:11">
      <c r="A107" s="195">
        <v>6016</v>
      </c>
      <c r="B107" s="196" t="s">
        <v>98</v>
      </c>
      <c r="C107" s="214">
        <f>ROUND(VLOOKUP(A107,'Contribution Allocation_Report'!$A$9:$D$314,4,FALSE)*$C$315,0)</f>
        <v>1450623</v>
      </c>
      <c r="D107" s="214">
        <f>ROUND(VLOOKUP(A107,'Contribution Allocation_Report'!$A$9:$D$314,4,FALSE)*$D$315,0)</f>
        <v>1877126</v>
      </c>
      <c r="E107" s="214">
        <f>ROUND(VLOOKUP(A107,'Contribution Allocation_Report'!$A$9:$D$314,4,FALSE)*$E$315,0)</f>
        <v>2972441</v>
      </c>
      <c r="F107" s="192"/>
      <c r="J107" s="227">
        <v>6016</v>
      </c>
      <c r="K107" s="282">
        <f t="shared" si="1"/>
        <v>0</v>
      </c>
    </row>
    <row r="108" spans="1:11">
      <c r="A108" s="193">
        <v>2432</v>
      </c>
      <c r="B108" s="194" t="s">
        <v>99</v>
      </c>
      <c r="C108" s="213">
        <f>ROUND(VLOOKUP(A108,'Contribution Allocation_Report'!$A$9:$D$314,4,FALSE)*$C$315,0)</f>
        <v>2305484</v>
      </c>
      <c r="D108" s="213">
        <f>ROUND(VLOOKUP(A108,'Contribution Allocation_Report'!$A$9:$D$314,4,FALSE)*$D$315,0)</f>
        <v>2983329</v>
      </c>
      <c r="E108" s="213">
        <f>ROUND(VLOOKUP(A108,'Contribution Allocation_Report'!$A$9:$D$314,4,FALSE)*$E$315,0)</f>
        <v>4724119</v>
      </c>
      <c r="F108" s="192"/>
      <c r="J108" s="227">
        <v>2432</v>
      </c>
      <c r="K108" s="282">
        <f t="shared" si="1"/>
        <v>0</v>
      </c>
    </row>
    <row r="109" spans="1:11">
      <c r="A109" s="195">
        <v>7440</v>
      </c>
      <c r="B109" s="196" t="s">
        <v>447</v>
      </c>
      <c r="C109" s="214">
        <f>ROUND(VLOOKUP(A109,'Contribution Allocation_Report'!$A$9:$D$314,4,FALSE)*$C$315,0)</f>
        <v>520625</v>
      </c>
      <c r="D109" s="214">
        <f>ROUND(VLOOKUP(A109,'Contribution Allocation_Report'!$A$9:$D$314,4,FALSE)*$D$315,0)</f>
        <v>673697</v>
      </c>
      <c r="E109" s="214">
        <f>ROUND(VLOOKUP(A109,'Contribution Allocation_Report'!$A$9:$D$314,4,FALSE)*$E$315,0)</f>
        <v>1066802</v>
      </c>
      <c r="F109" s="192"/>
      <c r="J109" s="59">
        <v>7440</v>
      </c>
      <c r="K109" s="282">
        <f t="shared" si="1"/>
        <v>0</v>
      </c>
    </row>
    <row r="110" spans="1:11">
      <c r="A110" s="193">
        <v>29125</v>
      </c>
      <c r="B110" s="194" t="s">
        <v>483</v>
      </c>
      <c r="C110" s="213">
        <f>ROUND(VLOOKUP(A110,'Contribution Allocation_Report'!$A$9:$D$314,4,FALSE)*$C$315,0)</f>
        <v>356502</v>
      </c>
      <c r="D110" s="213">
        <f>ROUND(VLOOKUP(A110,'Contribution Allocation_Report'!$A$9:$D$314,4,FALSE)*$D$315,0)</f>
        <v>461318</v>
      </c>
      <c r="E110" s="213">
        <f>ROUND(VLOOKUP(A110,'Contribution Allocation_Report'!$A$9:$D$314,4,FALSE)*$E$315,0)</f>
        <v>730500</v>
      </c>
      <c r="F110" s="192"/>
      <c r="J110" s="59"/>
      <c r="K110" s="282"/>
    </row>
    <row r="111" spans="1:11">
      <c r="A111" s="195">
        <v>16052</v>
      </c>
      <c r="B111" s="196" t="s">
        <v>100</v>
      </c>
      <c r="C111" s="214">
        <f>ROUND(VLOOKUP(A111,'Contribution Allocation_Report'!$A$9:$D$314,4,FALSE)*$C$315,0)</f>
        <v>18189107</v>
      </c>
      <c r="D111" s="214">
        <f>ROUND(VLOOKUP(A111,'Contribution Allocation_Report'!$A$9:$D$314,4,FALSE)*$D$315,0)</f>
        <v>23536959</v>
      </c>
      <c r="E111" s="214">
        <f>ROUND(VLOOKUP(A111,'Contribution Allocation_Report'!$A$9:$D$314,4,FALSE)*$E$315,0)</f>
        <v>37270912</v>
      </c>
      <c r="F111" s="192"/>
      <c r="J111" s="59">
        <v>16052</v>
      </c>
      <c r="K111" s="282">
        <f t="shared" si="1"/>
        <v>0</v>
      </c>
    </row>
    <row r="112" spans="1:11">
      <c r="A112" s="193">
        <v>11118</v>
      </c>
      <c r="B112" s="194" t="s">
        <v>101</v>
      </c>
      <c r="C112" s="213">
        <f>ROUND(VLOOKUP(A112,'Contribution Allocation_Report'!$A$9:$D$314,4,FALSE)*$C$315,0)</f>
        <v>494981</v>
      </c>
      <c r="D112" s="213">
        <f>ROUND(VLOOKUP(A112,'Contribution Allocation_Report'!$A$9:$D$314,4,FALSE)*$D$315,0)</f>
        <v>640512</v>
      </c>
      <c r="E112" s="213">
        <f>ROUND(VLOOKUP(A112,'Contribution Allocation_Report'!$A$9:$D$314,4,FALSE)*$E$315,0)</f>
        <v>1014254</v>
      </c>
      <c r="F112" s="192"/>
      <c r="J112" s="227">
        <v>11118</v>
      </c>
      <c r="K112" s="282">
        <f t="shared" si="1"/>
        <v>0</v>
      </c>
    </row>
    <row r="113" spans="1:11">
      <c r="A113" s="195">
        <v>27083</v>
      </c>
      <c r="B113" s="196" t="s">
        <v>102</v>
      </c>
      <c r="C113" s="214">
        <f>ROUND(VLOOKUP(A113,'Contribution Allocation_Report'!$A$9:$D$314,4,FALSE)*$C$315,0)</f>
        <v>661552</v>
      </c>
      <c r="D113" s="214">
        <f>ROUND(VLOOKUP(A113,'Contribution Allocation_Report'!$A$9:$D$314,4,FALSE)*$D$315,0)</f>
        <v>856057</v>
      </c>
      <c r="E113" s="214">
        <f>ROUND(VLOOKUP(A113,'Contribution Allocation_Report'!$A$9:$D$314,4,FALSE)*$E$315,0)</f>
        <v>1355572</v>
      </c>
      <c r="F113" s="192"/>
      <c r="J113" s="59">
        <v>27083</v>
      </c>
      <c r="K113" s="282">
        <f t="shared" si="1"/>
        <v>0</v>
      </c>
    </row>
    <row r="114" spans="1:11">
      <c r="A114" s="193">
        <v>7021</v>
      </c>
      <c r="B114" s="194" t="s">
        <v>103</v>
      </c>
      <c r="C114" s="213">
        <f>ROUND(VLOOKUP(A114,'Contribution Allocation_Report'!$A$9:$D$314,4,FALSE)*$C$315,0)</f>
        <v>24032232</v>
      </c>
      <c r="D114" s="213">
        <f>ROUND(VLOOKUP(A114,'Contribution Allocation_Report'!$A$9:$D$314,4,FALSE)*$D$315,0)</f>
        <v>31098045</v>
      </c>
      <c r="E114" s="213">
        <f>ROUND(VLOOKUP(A114,'Contribution Allocation_Report'!$A$9:$D$314,4,FALSE)*$E$315,0)</f>
        <v>49243935</v>
      </c>
      <c r="F114" s="192"/>
      <c r="J114" s="227">
        <v>7021</v>
      </c>
      <c r="K114" s="282">
        <f t="shared" si="1"/>
        <v>0</v>
      </c>
    </row>
    <row r="115" spans="1:11">
      <c r="A115" s="195">
        <v>4140</v>
      </c>
      <c r="B115" s="196" t="s">
        <v>104</v>
      </c>
      <c r="C115" s="214">
        <f>ROUND(VLOOKUP(A115,'Contribution Allocation_Report'!$A$9:$D$314,4,FALSE)*$C$315,0)</f>
        <v>163041</v>
      </c>
      <c r="D115" s="214">
        <f>ROUND(VLOOKUP(A115,'Contribution Allocation_Report'!$A$9:$D$314,4,FALSE)*$D$315,0)</f>
        <v>210977</v>
      </c>
      <c r="E115" s="214">
        <f>ROUND(VLOOKUP(A115,'Contribution Allocation_Report'!$A$9:$D$314,4,FALSE)*$E$315,0)</f>
        <v>334083</v>
      </c>
      <c r="F115" s="192"/>
      <c r="J115" s="59">
        <v>4140</v>
      </c>
      <c r="K115" s="282">
        <f t="shared" si="1"/>
        <v>0</v>
      </c>
    </row>
    <row r="116" spans="1:11">
      <c r="A116" s="193">
        <v>13041</v>
      </c>
      <c r="B116" s="194" t="s">
        <v>105</v>
      </c>
      <c r="C116" s="213">
        <f>ROUND(VLOOKUP(A116,'Contribution Allocation_Report'!$A$9:$D$314,4,FALSE)*$C$315,0)</f>
        <v>22131928</v>
      </c>
      <c r="D116" s="213">
        <f>ROUND(VLOOKUP(A116,'Contribution Allocation_Report'!$A$9:$D$314,4,FALSE)*$D$315,0)</f>
        <v>28639026</v>
      </c>
      <c r="E116" s="213">
        <f>ROUND(VLOOKUP(A116,'Contribution Allocation_Report'!$A$9:$D$314,4,FALSE)*$E$315,0)</f>
        <v>45350064</v>
      </c>
      <c r="F116" s="192"/>
      <c r="J116" s="227">
        <v>13041</v>
      </c>
      <c r="K116" s="282">
        <f t="shared" si="1"/>
        <v>0</v>
      </c>
    </row>
    <row r="117" spans="1:11">
      <c r="A117" s="195">
        <v>2339</v>
      </c>
      <c r="B117" s="196" t="s">
        <v>106</v>
      </c>
      <c r="C117" s="214">
        <f>ROUND(VLOOKUP(A117,'Contribution Allocation_Report'!$A$9:$D$314,4,FALSE)*$C$315,0)</f>
        <v>325226</v>
      </c>
      <c r="D117" s="214">
        <f>ROUND(VLOOKUP(A117,'Contribution Allocation_Report'!$A$9:$D$314,4,FALSE)*$D$315,0)</f>
        <v>420847</v>
      </c>
      <c r="E117" s="214">
        <f>ROUND(VLOOKUP(A117,'Contribution Allocation_Report'!$A$9:$D$314,4,FALSE)*$E$315,0)</f>
        <v>666413</v>
      </c>
      <c r="F117" s="192"/>
      <c r="J117" s="59">
        <v>2339</v>
      </c>
      <c r="K117" s="282">
        <f t="shared" si="1"/>
        <v>0</v>
      </c>
    </row>
    <row r="118" spans="1:11">
      <c r="A118" s="193">
        <v>2362</v>
      </c>
      <c r="B118" s="194" t="s">
        <v>107</v>
      </c>
      <c r="C118" s="213">
        <f>ROUND(VLOOKUP(A118,'Contribution Allocation_Report'!$A$9:$D$314,4,FALSE)*$C$315,0)</f>
        <v>362361</v>
      </c>
      <c r="D118" s="213">
        <f>ROUND(VLOOKUP(A118,'Contribution Allocation_Report'!$A$9:$D$314,4,FALSE)*$D$315,0)</f>
        <v>468900</v>
      </c>
      <c r="E118" s="213">
        <f>ROUND(VLOOKUP(A118,'Contribution Allocation_Report'!$A$9:$D$314,4,FALSE)*$E$315,0)</f>
        <v>742505</v>
      </c>
      <c r="F118" s="192"/>
      <c r="J118" s="227">
        <v>2362</v>
      </c>
      <c r="K118" s="282">
        <f t="shared" si="1"/>
        <v>0</v>
      </c>
    </row>
    <row r="119" spans="1:11">
      <c r="A119" s="195">
        <v>5013</v>
      </c>
      <c r="B119" s="196" t="s">
        <v>108</v>
      </c>
      <c r="C119" s="214">
        <f>ROUND(VLOOKUP(A119,'Contribution Allocation_Report'!$A$9:$D$314,4,FALSE)*$C$315,0)</f>
        <v>390561</v>
      </c>
      <c r="D119" s="214">
        <f>ROUND(VLOOKUP(A119,'Contribution Allocation_Report'!$A$9:$D$314,4,FALSE)*$D$315,0)</f>
        <v>505392</v>
      </c>
      <c r="E119" s="214">
        <f>ROUND(VLOOKUP(A119,'Contribution Allocation_Report'!$A$9:$D$314,4,FALSE)*$E$315,0)</f>
        <v>800290</v>
      </c>
      <c r="F119" s="192"/>
      <c r="J119" s="59">
        <v>5013</v>
      </c>
      <c r="K119" s="282">
        <f t="shared" si="1"/>
        <v>0</v>
      </c>
    </row>
    <row r="120" spans="1:11">
      <c r="A120" s="193">
        <v>3110</v>
      </c>
      <c r="B120" s="194" t="s">
        <v>109</v>
      </c>
      <c r="C120" s="213">
        <f>ROUND(VLOOKUP(A120,'Contribution Allocation_Report'!$A$9:$D$314,4,FALSE)*$C$315,0)</f>
        <v>1723260</v>
      </c>
      <c r="D120" s="213">
        <f>ROUND(VLOOKUP(A120,'Contribution Allocation_Report'!$A$9:$D$314,4,FALSE)*$D$315,0)</f>
        <v>2229922</v>
      </c>
      <c r="E120" s="213">
        <f>ROUND(VLOOKUP(A120,'Contribution Allocation_Report'!$A$9:$D$314,4,FALSE)*$E$315,0)</f>
        <v>3531095</v>
      </c>
      <c r="F120" s="192"/>
      <c r="J120" s="227">
        <v>3110</v>
      </c>
      <c r="K120" s="282">
        <f t="shared" si="1"/>
        <v>0</v>
      </c>
    </row>
    <row r="121" spans="1:11">
      <c r="A121" s="195">
        <v>14044</v>
      </c>
      <c r="B121" s="196" t="s">
        <v>110</v>
      </c>
      <c r="C121" s="214">
        <f>ROUND(VLOOKUP(A121,'Contribution Allocation_Report'!$A$9:$D$314,4,FALSE)*$C$315,0)</f>
        <v>6706931</v>
      </c>
      <c r="D121" s="214">
        <f>ROUND(VLOOKUP(A121,'Contribution Allocation_Report'!$A$9:$D$314,4,FALSE)*$D$315,0)</f>
        <v>8678863</v>
      </c>
      <c r="E121" s="214">
        <f>ROUND(VLOOKUP(A121,'Contribution Allocation_Report'!$A$9:$D$314,4,FALSE)*$E$315,0)</f>
        <v>13743031</v>
      </c>
      <c r="F121" s="192"/>
      <c r="J121" s="59">
        <v>14044</v>
      </c>
      <c r="K121" s="282">
        <f t="shared" si="1"/>
        <v>0</v>
      </c>
    </row>
    <row r="122" spans="1:11">
      <c r="A122" s="193">
        <v>4009</v>
      </c>
      <c r="B122" s="194" t="s">
        <v>111</v>
      </c>
      <c r="C122" s="213">
        <f>ROUND(VLOOKUP(A122,'Contribution Allocation_Report'!$A$9:$D$314,4,FALSE)*$C$315,0)</f>
        <v>884481</v>
      </c>
      <c r="D122" s="213">
        <f>ROUND(VLOOKUP(A122,'Contribution Allocation_Report'!$A$9:$D$314,4,FALSE)*$D$315,0)</f>
        <v>1144530</v>
      </c>
      <c r="E122" s="213">
        <f>ROUND(VLOOKUP(A122,'Contribution Allocation_Report'!$A$9:$D$314,4,FALSE)*$E$315,0)</f>
        <v>1812370</v>
      </c>
      <c r="F122" s="192"/>
      <c r="J122" s="227">
        <v>4009</v>
      </c>
      <c r="K122" s="282">
        <f t="shared" si="1"/>
        <v>0</v>
      </c>
    </row>
    <row r="123" spans="1:11">
      <c r="A123" s="195">
        <v>7022</v>
      </c>
      <c r="B123" s="196" t="s">
        <v>112</v>
      </c>
      <c r="C123" s="214">
        <f>ROUND(VLOOKUP(A123,'Contribution Allocation_Report'!$A$9:$D$314,4,FALSE)*$C$315,0)</f>
        <v>2501750</v>
      </c>
      <c r="D123" s="214">
        <f>ROUND(VLOOKUP(A123,'Contribution Allocation_Report'!$A$9:$D$314,4,FALSE)*$D$315,0)</f>
        <v>3237300</v>
      </c>
      <c r="E123" s="214">
        <f>ROUND(VLOOKUP(A123,'Contribution Allocation_Report'!$A$9:$D$314,4,FALSE)*$E$315,0)</f>
        <v>5126284</v>
      </c>
      <c r="F123" s="192"/>
      <c r="J123" s="59">
        <v>7022</v>
      </c>
      <c r="K123" s="282">
        <f t="shared" si="1"/>
        <v>0</v>
      </c>
    </row>
    <row r="124" spans="1:11">
      <c r="A124" s="193">
        <v>2430</v>
      </c>
      <c r="B124" s="194" t="s">
        <v>113</v>
      </c>
      <c r="C124" s="213">
        <f>ROUND(VLOOKUP(A124,'Contribution Allocation_Report'!$A$9:$D$314,4,FALSE)*$C$315,0)</f>
        <v>322583</v>
      </c>
      <c r="D124" s="213">
        <f>ROUND(VLOOKUP(A124,'Contribution Allocation_Report'!$A$9:$D$314,4,FALSE)*$D$315,0)</f>
        <v>417427</v>
      </c>
      <c r="E124" s="213">
        <f>ROUND(VLOOKUP(A124,'Contribution Allocation_Report'!$A$9:$D$314,4,FALSE)*$E$315,0)</f>
        <v>660999</v>
      </c>
      <c r="F124" s="192"/>
      <c r="J124" s="227">
        <v>2430</v>
      </c>
      <c r="K124" s="282">
        <f t="shared" si="1"/>
        <v>0</v>
      </c>
    </row>
    <row r="125" spans="1:11">
      <c r="A125" s="195">
        <v>9150</v>
      </c>
      <c r="B125" s="196" t="s">
        <v>114</v>
      </c>
      <c r="C125" s="214">
        <f>ROUND(VLOOKUP(A125,'Contribution Allocation_Report'!$A$9:$D$314,4,FALSE)*$C$315,0)</f>
        <v>180910</v>
      </c>
      <c r="D125" s="214">
        <f>ROUND(VLOOKUP(A125,'Contribution Allocation_Report'!$A$9:$D$314,4,FALSE)*$D$315,0)</f>
        <v>234100</v>
      </c>
      <c r="E125" s="214">
        <f>ROUND(VLOOKUP(A125,'Contribution Allocation_Report'!$A$9:$D$314,4,FALSE)*$E$315,0)</f>
        <v>370698</v>
      </c>
      <c r="F125" s="192"/>
      <c r="J125" s="59">
        <v>9150</v>
      </c>
      <c r="K125" s="282">
        <f t="shared" si="1"/>
        <v>0</v>
      </c>
    </row>
    <row r="126" spans="1:11">
      <c r="A126" s="193">
        <v>6017</v>
      </c>
      <c r="B126" s="194" t="s">
        <v>115</v>
      </c>
      <c r="C126" s="213">
        <f>ROUND(VLOOKUP(A126,'Contribution Allocation_Report'!$A$9:$D$314,4,FALSE)*$C$315,0)</f>
        <v>17340278</v>
      </c>
      <c r="D126" s="213">
        <f>ROUND(VLOOKUP(A126,'Contribution Allocation_Report'!$A$9:$D$314,4,FALSE)*$D$315,0)</f>
        <v>22438562</v>
      </c>
      <c r="E126" s="213">
        <f>ROUND(VLOOKUP(A126,'Contribution Allocation_Report'!$A$9:$D$314,4,FALSE)*$E$315,0)</f>
        <v>35531594</v>
      </c>
      <c r="F126" s="192"/>
      <c r="J126" s="227">
        <v>6017</v>
      </c>
      <c r="K126" s="282">
        <f t="shared" si="1"/>
        <v>0</v>
      </c>
    </row>
    <row r="127" spans="1:11">
      <c r="A127" s="195">
        <v>26080</v>
      </c>
      <c r="B127" s="196" t="s">
        <v>116</v>
      </c>
      <c r="C127" s="214">
        <f>ROUND(VLOOKUP(A127,'Contribution Allocation_Report'!$A$9:$D$314,4,FALSE)*$C$315,0)</f>
        <v>513478</v>
      </c>
      <c r="D127" s="214">
        <f>ROUND(VLOOKUP(A127,'Contribution Allocation_Report'!$A$9:$D$314,4,FALSE)*$D$315,0)</f>
        <v>664447</v>
      </c>
      <c r="E127" s="214">
        <f>ROUND(VLOOKUP(A127,'Contribution Allocation_Report'!$A$9:$D$314,4,FALSE)*$E$315,0)</f>
        <v>1052156</v>
      </c>
      <c r="F127" s="192"/>
      <c r="J127" s="59">
        <v>26080</v>
      </c>
      <c r="K127" s="282">
        <f t="shared" si="1"/>
        <v>0</v>
      </c>
    </row>
    <row r="128" spans="1:11">
      <c r="A128" s="193">
        <v>2327</v>
      </c>
      <c r="B128" s="194" t="s">
        <v>117</v>
      </c>
      <c r="C128" s="213">
        <f>ROUND(VLOOKUP(A128,'Contribution Allocation_Report'!$A$9:$D$314,4,FALSE)*$C$315,0)</f>
        <v>641463</v>
      </c>
      <c r="D128" s="213">
        <f>ROUND(VLOOKUP(A128,'Contribution Allocation_Report'!$A$9:$D$314,4,FALSE)*$D$315,0)</f>
        <v>830062</v>
      </c>
      <c r="E128" s="213">
        <f>ROUND(VLOOKUP(A128,'Contribution Allocation_Report'!$A$9:$D$314,4,FALSE)*$E$315,0)</f>
        <v>1314408</v>
      </c>
      <c r="F128" s="192"/>
      <c r="J128" s="227">
        <v>2327</v>
      </c>
      <c r="K128" s="282">
        <f t="shared" si="1"/>
        <v>0</v>
      </c>
    </row>
    <row r="129" spans="1:11">
      <c r="A129" s="195">
        <v>10119</v>
      </c>
      <c r="B129" s="196" t="s">
        <v>118</v>
      </c>
      <c r="C129" s="214">
        <f>ROUND(VLOOKUP(A129,'Contribution Allocation_Report'!$A$9:$D$314,4,FALSE)*$C$315,0)</f>
        <v>294838</v>
      </c>
      <c r="D129" s="214">
        <f>ROUND(VLOOKUP(A129,'Contribution Allocation_Report'!$A$9:$D$314,4,FALSE)*$D$315,0)</f>
        <v>381524</v>
      </c>
      <c r="E129" s="214">
        <f>ROUND(VLOOKUP(A129,'Contribution Allocation_Report'!$A$9:$D$314,4,FALSE)*$E$315,0)</f>
        <v>604146</v>
      </c>
      <c r="F129" s="192"/>
      <c r="J129" s="59">
        <v>10119</v>
      </c>
      <c r="K129" s="282">
        <f t="shared" si="1"/>
        <v>0</v>
      </c>
    </row>
    <row r="130" spans="1:11">
      <c r="A130" s="193">
        <v>573</v>
      </c>
      <c r="B130" s="194" t="s">
        <v>399</v>
      </c>
      <c r="C130" s="213">
        <f>ROUND(VLOOKUP(A130,'Contribution Allocation_Report'!$A$9:$D$314,4,FALSE)*$C$315,0)</f>
        <v>1508757</v>
      </c>
      <c r="D130" s="213">
        <f>ROUND(VLOOKUP(A130,'Contribution Allocation_Report'!$A$9:$D$314,4,FALSE)*$D$315,0)</f>
        <v>1952352</v>
      </c>
      <c r="E130" s="213">
        <f>ROUND(VLOOKUP(A130,'Contribution Allocation_Report'!$A$9:$D$314,4,FALSE)*$E$315,0)</f>
        <v>3091561</v>
      </c>
      <c r="F130" s="192"/>
      <c r="J130" s="227">
        <v>573</v>
      </c>
      <c r="K130" s="282">
        <f t="shared" si="1"/>
        <v>0</v>
      </c>
    </row>
    <row r="131" spans="1:11">
      <c r="A131" s="195">
        <v>2368</v>
      </c>
      <c r="B131" s="196" t="s">
        <v>119</v>
      </c>
      <c r="C131" s="214">
        <f>ROUND(VLOOKUP(A131,'Contribution Allocation_Report'!$A$9:$D$314,4,FALSE)*$C$315,0)</f>
        <v>620919</v>
      </c>
      <c r="D131" s="214">
        <f>ROUND(VLOOKUP(A131,'Contribution Allocation_Report'!$A$9:$D$314,4,FALSE)*$D$315,0)</f>
        <v>803478</v>
      </c>
      <c r="E131" s="214">
        <f>ROUND(VLOOKUP(A131,'Contribution Allocation_Report'!$A$9:$D$314,4,FALSE)*$E$315,0)</f>
        <v>1272312</v>
      </c>
      <c r="F131" s="192"/>
      <c r="J131" s="59">
        <v>2368</v>
      </c>
      <c r="K131" s="282">
        <f t="shared" si="1"/>
        <v>0</v>
      </c>
    </row>
    <row r="132" spans="1:11">
      <c r="A132" s="193">
        <v>7420</v>
      </c>
      <c r="B132" s="194" t="s">
        <v>120</v>
      </c>
      <c r="C132" s="213">
        <f>ROUND(VLOOKUP(A132,'Contribution Allocation_Report'!$A$9:$D$314,4,FALSE)*$C$315,0)</f>
        <v>372995</v>
      </c>
      <c r="D132" s="213">
        <f>ROUND(VLOOKUP(A132,'Contribution Allocation_Report'!$A$9:$D$314,4,FALSE)*$D$315,0)</f>
        <v>482661</v>
      </c>
      <c r="E132" s="213">
        <f>ROUND(VLOOKUP(A132,'Contribution Allocation_Report'!$A$9:$D$314,4,FALSE)*$E$315,0)</f>
        <v>764297</v>
      </c>
      <c r="F132" s="192"/>
      <c r="J132" s="227">
        <v>7420</v>
      </c>
      <c r="K132" s="282">
        <f t="shared" si="1"/>
        <v>0</v>
      </c>
    </row>
    <row r="133" spans="1:11">
      <c r="A133" s="195">
        <v>6018</v>
      </c>
      <c r="B133" s="196" t="s">
        <v>121</v>
      </c>
      <c r="C133" s="214">
        <f>ROUND(VLOOKUP(A133,'Contribution Allocation_Report'!$A$9:$D$314,4,FALSE)*$C$315,0)</f>
        <v>1266551</v>
      </c>
      <c r="D133" s="214">
        <f>ROUND(VLOOKUP(A133,'Contribution Allocation_Report'!$A$9:$D$314,4,FALSE)*$D$315,0)</f>
        <v>1638935</v>
      </c>
      <c r="E133" s="214">
        <f>ROUND(VLOOKUP(A133,'Contribution Allocation_Report'!$A$9:$D$314,4,FALSE)*$E$315,0)</f>
        <v>2595263</v>
      </c>
      <c r="F133" s="192"/>
      <c r="J133" s="59">
        <v>6018</v>
      </c>
      <c r="K133" s="282">
        <f t="shared" si="1"/>
        <v>0</v>
      </c>
    </row>
    <row r="134" spans="1:11">
      <c r="A134" s="193">
        <v>3321</v>
      </c>
      <c r="B134" s="194" t="s">
        <v>122</v>
      </c>
      <c r="C134" s="213">
        <f>ROUND(VLOOKUP(A134,'Contribution Allocation_Report'!$A$9:$D$314,4,FALSE)*$C$315,0)</f>
        <v>377360</v>
      </c>
      <c r="D134" s="213">
        <f>ROUND(VLOOKUP(A134,'Contribution Allocation_Report'!$A$9:$D$314,4,FALSE)*$D$315,0)</f>
        <v>488309</v>
      </c>
      <c r="E134" s="213">
        <f>ROUND(VLOOKUP(A134,'Contribution Allocation_Report'!$A$9:$D$314,4,FALSE)*$E$315,0)</f>
        <v>773240</v>
      </c>
      <c r="F134" s="192"/>
      <c r="J134" s="227">
        <v>3321</v>
      </c>
      <c r="K134" s="282">
        <f t="shared" si="1"/>
        <v>0</v>
      </c>
    </row>
    <row r="135" spans="1:11">
      <c r="A135" s="195">
        <v>29122</v>
      </c>
      <c r="B135" s="196" t="s">
        <v>123</v>
      </c>
      <c r="C135" s="214">
        <f>ROUND(VLOOKUP(A135,'Contribution Allocation_Report'!$A$9:$D$314,4,FALSE)*$C$315,0)</f>
        <v>487811</v>
      </c>
      <c r="D135" s="214">
        <f>ROUND(VLOOKUP(A135,'Contribution Allocation_Report'!$A$9:$D$314,4,FALSE)*$D$315,0)</f>
        <v>631235</v>
      </c>
      <c r="E135" s="214">
        <f>ROUND(VLOOKUP(A135,'Contribution Allocation_Report'!$A$9:$D$314,4,FALSE)*$E$315,0)</f>
        <v>999564</v>
      </c>
      <c r="F135" s="192"/>
      <c r="J135" s="59">
        <v>29122</v>
      </c>
      <c r="K135" s="282">
        <f t="shared" si="1"/>
        <v>0</v>
      </c>
    </row>
    <row r="136" spans="1:11">
      <c r="A136" s="193">
        <v>29088</v>
      </c>
      <c r="B136" s="194" t="s">
        <v>124</v>
      </c>
      <c r="C136" s="213">
        <f>ROUND(VLOOKUP(A136,'Contribution Allocation_Report'!$A$9:$D$314,4,FALSE)*$C$315,0)</f>
        <v>728891</v>
      </c>
      <c r="D136" s="213">
        <f>ROUND(VLOOKUP(A136,'Contribution Allocation_Report'!$A$9:$D$314,4,FALSE)*$D$315,0)</f>
        <v>943195</v>
      </c>
      <c r="E136" s="213">
        <f>ROUND(VLOOKUP(A136,'Contribution Allocation_Report'!$A$9:$D$314,4,FALSE)*$E$315,0)</f>
        <v>1493554</v>
      </c>
      <c r="F136" s="192"/>
      <c r="J136" s="227">
        <v>29088</v>
      </c>
      <c r="K136" s="282">
        <f t="shared" si="1"/>
        <v>0</v>
      </c>
    </row>
    <row r="137" spans="1:11">
      <c r="A137" s="195">
        <v>7337</v>
      </c>
      <c r="B137" s="196" t="s">
        <v>125</v>
      </c>
      <c r="C137" s="214">
        <f>ROUND(VLOOKUP(A137,'Contribution Allocation_Report'!$A$9:$D$314,4,FALSE)*$C$315,0)</f>
        <v>144598</v>
      </c>
      <c r="D137" s="214">
        <f>ROUND(VLOOKUP(A137,'Contribution Allocation_Report'!$A$9:$D$314,4,FALSE)*$D$315,0)</f>
        <v>187111</v>
      </c>
      <c r="E137" s="214">
        <f>ROUND(VLOOKUP(A137,'Contribution Allocation_Report'!$A$9:$D$314,4,FALSE)*$E$315,0)</f>
        <v>296292</v>
      </c>
      <c r="F137" s="192"/>
      <c r="J137" s="59">
        <v>7337</v>
      </c>
      <c r="K137" s="282">
        <f t="shared" si="1"/>
        <v>0</v>
      </c>
    </row>
    <row r="138" spans="1:11">
      <c r="A138" s="193">
        <v>2329</v>
      </c>
      <c r="B138" s="194" t="s">
        <v>126</v>
      </c>
      <c r="C138" s="213">
        <f>ROUND(VLOOKUP(A138,'Contribution Allocation_Report'!$A$9:$D$314,4,FALSE)*$C$315,0)</f>
        <v>493735</v>
      </c>
      <c r="D138" s="213">
        <f>ROUND(VLOOKUP(A138,'Contribution Allocation_Report'!$A$9:$D$314,4,FALSE)*$D$315,0)</f>
        <v>638900</v>
      </c>
      <c r="E138" s="213">
        <f>ROUND(VLOOKUP(A138,'Contribution Allocation_Report'!$A$9:$D$314,4,FALSE)*$E$315,0)</f>
        <v>1011703</v>
      </c>
      <c r="F138" s="192"/>
      <c r="J138" s="227">
        <v>2329</v>
      </c>
      <c r="K138" s="282">
        <f t="shared" si="1"/>
        <v>0</v>
      </c>
    </row>
    <row r="139" spans="1:11">
      <c r="A139" s="195">
        <v>4010</v>
      </c>
      <c r="B139" s="196" t="s">
        <v>129</v>
      </c>
      <c r="C139" s="214">
        <f>ROUND(VLOOKUP(A139,'Contribution Allocation_Report'!$A$9:$D$314,4,FALSE)*$C$315,0)</f>
        <v>409535</v>
      </c>
      <c r="D139" s="214">
        <f>ROUND(VLOOKUP(A139,'Contribution Allocation_Report'!$A$9:$D$314,4,FALSE)*$D$315,0)</f>
        <v>529944</v>
      </c>
      <c r="E139" s="214">
        <f>ROUND(VLOOKUP(A139,'Contribution Allocation_Report'!$A$9:$D$314,4,FALSE)*$E$315,0)</f>
        <v>839169</v>
      </c>
      <c r="F139" s="192"/>
      <c r="J139" s="227">
        <v>4010</v>
      </c>
      <c r="K139" s="282">
        <f t="shared" ref="K139:K203" si="2">+A139-J139</f>
        <v>0</v>
      </c>
    </row>
    <row r="140" spans="1:11">
      <c r="A140" s="193">
        <v>7023</v>
      </c>
      <c r="B140" s="194" t="s">
        <v>130</v>
      </c>
      <c r="C140" s="213">
        <f>ROUND(VLOOKUP(A140,'Contribution Allocation_Report'!$A$9:$D$314,4,FALSE)*$C$315,0)</f>
        <v>45552360</v>
      </c>
      <c r="D140" s="213">
        <f>ROUND(VLOOKUP(A140,'Contribution Allocation_Report'!$A$9:$D$314,4,FALSE)*$D$315,0)</f>
        <v>58945392</v>
      </c>
      <c r="E140" s="213">
        <f>ROUND(VLOOKUP(A140,'Contribution Allocation_Report'!$A$9:$D$314,4,FALSE)*$E$315,0)</f>
        <v>93340371</v>
      </c>
      <c r="F140" s="192"/>
      <c r="J140" s="59">
        <v>7023</v>
      </c>
      <c r="K140" s="282">
        <f t="shared" si="2"/>
        <v>0</v>
      </c>
    </row>
    <row r="141" spans="1:11">
      <c r="A141" s="195">
        <v>7338</v>
      </c>
      <c r="B141" s="196" t="s">
        <v>131</v>
      </c>
      <c r="C141" s="214">
        <f>ROUND(VLOOKUP(A141,'Contribution Allocation_Report'!$A$9:$D$314,4,FALSE)*$C$315,0)</f>
        <v>333792</v>
      </c>
      <c r="D141" s="214">
        <f>ROUND(VLOOKUP(A141,'Contribution Allocation_Report'!$A$9:$D$314,4,FALSE)*$D$315,0)</f>
        <v>431931</v>
      </c>
      <c r="E141" s="214">
        <f>ROUND(VLOOKUP(A141,'Contribution Allocation_Report'!$A$9:$D$314,4,FALSE)*$E$315,0)</f>
        <v>683966</v>
      </c>
      <c r="F141" s="192"/>
      <c r="J141" s="227">
        <v>7338</v>
      </c>
      <c r="K141" s="282">
        <f t="shared" si="2"/>
        <v>0</v>
      </c>
    </row>
    <row r="142" spans="1:11">
      <c r="A142" s="193">
        <v>12037</v>
      </c>
      <c r="B142" s="194" t="s">
        <v>132</v>
      </c>
      <c r="C142" s="213">
        <f>ROUND(VLOOKUP(A142,'Contribution Allocation_Report'!$A$9:$D$314,4,FALSE)*$C$315,0)</f>
        <v>2657026</v>
      </c>
      <c r="D142" s="213">
        <f>ROUND(VLOOKUP(A142,'Contribution Allocation_Report'!$A$9:$D$314,4,FALSE)*$D$315,0)</f>
        <v>3438229</v>
      </c>
      <c r="E142" s="213">
        <f>ROUND(VLOOKUP(A142,'Contribution Allocation_Report'!$A$9:$D$314,4,FALSE)*$E$315,0)</f>
        <v>5444456</v>
      </c>
      <c r="F142" s="192"/>
      <c r="J142" s="59">
        <v>12037</v>
      </c>
      <c r="K142" s="282">
        <f t="shared" si="2"/>
        <v>0</v>
      </c>
    </row>
    <row r="143" spans="1:11">
      <c r="A143" s="195">
        <v>3150</v>
      </c>
      <c r="B143" s="196" t="s">
        <v>133</v>
      </c>
      <c r="C143" s="214">
        <f>ROUND(VLOOKUP(A143,'Contribution Allocation_Report'!$A$9:$D$314,4,FALSE)*$C$315,0)</f>
        <v>5971738</v>
      </c>
      <c r="D143" s="214">
        <f>ROUND(VLOOKUP(A143,'Contribution Allocation_Report'!$A$9:$D$314,4,FALSE)*$D$315,0)</f>
        <v>7727513</v>
      </c>
      <c r="E143" s="214">
        <f>ROUND(VLOOKUP(A143,'Contribution Allocation_Report'!$A$9:$D$314,4,FALSE)*$E$315,0)</f>
        <v>12236561</v>
      </c>
      <c r="F143" s="192"/>
      <c r="J143" s="227">
        <v>3150</v>
      </c>
      <c r="K143" s="282">
        <f t="shared" si="2"/>
        <v>0</v>
      </c>
    </row>
    <row r="144" spans="1:11">
      <c r="A144" s="193">
        <v>3160</v>
      </c>
      <c r="B144" s="194" t="s">
        <v>134</v>
      </c>
      <c r="C144" s="213">
        <f>ROUND(VLOOKUP(A144,'Contribution Allocation_Report'!$A$9:$D$314,4,FALSE)*$C$315,0)</f>
        <v>1277846</v>
      </c>
      <c r="D144" s="213">
        <f>ROUND(VLOOKUP(A144,'Contribution Allocation_Report'!$A$9:$D$314,4,FALSE)*$D$315,0)</f>
        <v>1653551</v>
      </c>
      <c r="E144" s="213">
        <f>ROUND(VLOOKUP(A144,'Contribution Allocation_Report'!$A$9:$D$314,4,FALSE)*$E$315,0)</f>
        <v>2618408</v>
      </c>
      <c r="F144" s="192"/>
      <c r="J144" s="59">
        <v>3160</v>
      </c>
      <c r="K144" s="282">
        <f t="shared" si="2"/>
        <v>0</v>
      </c>
    </row>
    <row r="145" spans="1:11">
      <c r="A145" s="195">
        <v>10120</v>
      </c>
      <c r="B145" s="196" t="s">
        <v>135</v>
      </c>
      <c r="C145" s="214">
        <f>ROUND(VLOOKUP(A145,'Contribution Allocation_Report'!$A$9:$D$314,4,FALSE)*$C$315,0)</f>
        <v>623648</v>
      </c>
      <c r="D145" s="214">
        <f>ROUND(VLOOKUP(A145,'Contribution Allocation_Report'!$A$9:$D$314,4,FALSE)*$D$315,0)</f>
        <v>807009</v>
      </c>
      <c r="E145" s="214">
        <f>ROUND(VLOOKUP(A145,'Contribution Allocation_Report'!$A$9:$D$314,4,FALSE)*$E$315,0)</f>
        <v>1277904</v>
      </c>
      <c r="F145" s="192"/>
      <c r="J145" s="227">
        <v>10120</v>
      </c>
      <c r="K145" s="282">
        <f t="shared" si="2"/>
        <v>0</v>
      </c>
    </row>
    <row r="146" spans="1:11">
      <c r="A146" s="193">
        <v>23070</v>
      </c>
      <c r="B146" s="194" t="s">
        <v>136</v>
      </c>
      <c r="C146" s="213">
        <f>ROUND(VLOOKUP(A146,'Contribution Allocation_Report'!$A$9:$D$314,4,FALSE)*$C$315,0)</f>
        <v>924171</v>
      </c>
      <c r="D146" s="213">
        <f>ROUND(VLOOKUP(A146,'Contribution Allocation_Report'!$A$9:$D$314,4,FALSE)*$D$315,0)</f>
        <v>1195891</v>
      </c>
      <c r="E146" s="213">
        <f>ROUND(VLOOKUP(A146,'Contribution Allocation_Report'!$A$9:$D$314,4,FALSE)*$E$315,0)</f>
        <v>1893700</v>
      </c>
      <c r="F146" s="192"/>
      <c r="J146" s="59">
        <v>23070</v>
      </c>
      <c r="K146" s="282">
        <f t="shared" si="2"/>
        <v>0</v>
      </c>
    </row>
    <row r="147" spans="1:11">
      <c r="A147" s="195">
        <v>3170</v>
      </c>
      <c r="B147" s="196" t="s">
        <v>137</v>
      </c>
      <c r="C147" s="214">
        <f>ROUND(VLOOKUP(A147,'Contribution Allocation_Report'!$A$9:$D$314,4,FALSE)*$C$315,0)</f>
        <v>13761311</v>
      </c>
      <c r="D147" s="214">
        <f>ROUND(VLOOKUP(A147,'Contribution Allocation_Report'!$A$9:$D$314,4,FALSE)*$D$315,0)</f>
        <v>17807330</v>
      </c>
      <c r="E147" s="214">
        <f>ROUND(VLOOKUP(A147,'Contribution Allocation_Report'!$A$9:$D$314,4,FALSE)*$E$315,0)</f>
        <v>28198010</v>
      </c>
      <c r="F147" s="192"/>
      <c r="J147" s="227">
        <v>3170</v>
      </c>
      <c r="K147" s="282">
        <f t="shared" si="2"/>
        <v>0</v>
      </c>
    </row>
    <row r="148" spans="1:11">
      <c r="A148" s="193">
        <v>32093</v>
      </c>
      <c r="B148" s="194" t="s">
        <v>138</v>
      </c>
      <c r="C148" s="213">
        <f>ROUND(VLOOKUP(A148,'Contribution Allocation_Report'!$A$9:$D$314,4,FALSE)*$C$315,0)</f>
        <v>8372437</v>
      </c>
      <c r="D148" s="213">
        <f>ROUND(VLOOKUP(A148,'Contribution Allocation_Report'!$A$9:$D$314,4,FALSE)*$D$315,0)</f>
        <v>10834050</v>
      </c>
      <c r="E148" s="213">
        <f>ROUND(VLOOKUP(A148,'Contribution Allocation_Report'!$A$9:$D$314,4,FALSE)*$E$315,0)</f>
        <v>17155782</v>
      </c>
      <c r="F148" s="192"/>
      <c r="J148" s="59">
        <v>32093</v>
      </c>
      <c r="K148" s="282">
        <f t="shared" si="2"/>
        <v>0</v>
      </c>
    </row>
    <row r="149" spans="1:11">
      <c r="A149" s="195">
        <v>14045</v>
      </c>
      <c r="B149" s="223" t="s">
        <v>139</v>
      </c>
      <c r="C149" s="238">
        <f>ROUND(VLOOKUP(A149,'Contribution Allocation_Report'!$A$9:$D$314,4,FALSE)*$C$315,0)</f>
        <v>15792545</v>
      </c>
      <c r="D149" s="238">
        <f>ROUND(VLOOKUP(A149,'Contribution Allocation_Report'!$A$9:$D$314,4,FALSE)*$D$315,0)</f>
        <v>20435775</v>
      </c>
      <c r="E149" s="238">
        <f>ROUND(VLOOKUP(A149,'Contribution Allocation_Report'!$A$9:$D$314,4,FALSE)*$E$315,0)</f>
        <v>32360168</v>
      </c>
      <c r="F149" s="192"/>
      <c r="J149" s="227">
        <v>14045</v>
      </c>
      <c r="K149" s="282">
        <f t="shared" si="2"/>
        <v>0</v>
      </c>
    </row>
    <row r="150" spans="1:11">
      <c r="A150" s="193">
        <v>2322</v>
      </c>
      <c r="B150" s="194" t="s">
        <v>140</v>
      </c>
      <c r="C150" s="213">
        <f>ROUND(VLOOKUP(A150,'Contribution Allocation_Report'!$A$9:$D$314,4,FALSE)*$C$315,0)</f>
        <v>282665</v>
      </c>
      <c r="D150" s="213">
        <f>ROUND(VLOOKUP(A150,'Contribution Allocation_Report'!$A$9:$D$314,4,FALSE)*$D$315,0)</f>
        <v>365773</v>
      </c>
      <c r="E150" s="213">
        <f>ROUND(VLOOKUP(A150,'Contribution Allocation_Report'!$A$9:$D$314,4,FALSE)*$E$315,0)</f>
        <v>579203</v>
      </c>
      <c r="F150" s="192"/>
      <c r="J150" s="59">
        <v>2322</v>
      </c>
      <c r="K150" s="282">
        <f t="shared" si="2"/>
        <v>0</v>
      </c>
    </row>
    <row r="151" spans="1:11">
      <c r="A151" s="195">
        <v>3006</v>
      </c>
      <c r="B151" s="196" t="s">
        <v>141</v>
      </c>
      <c r="C151" s="214">
        <f>ROUND(VLOOKUP(A151,'Contribution Allocation_Report'!$A$9:$D$314,4,FALSE)*$C$315,0)</f>
        <v>1237257</v>
      </c>
      <c r="D151" s="214">
        <f>ROUND(VLOOKUP(A151,'Contribution Allocation_Report'!$A$9:$D$314,4,FALSE)*$D$315,0)</f>
        <v>1601028</v>
      </c>
      <c r="E151" s="214">
        <f>ROUND(VLOOKUP(A151,'Contribution Allocation_Report'!$A$9:$D$314,4,FALSE)*$E$315,0)</f>
        <v>2535237</v>
      </c>
      <c r="F151" s="192"/>
      <c r="J151" s="227">
        <v>3006</v>
      </c>
      <c r="K151" s="282">
        <f t="shared" si="2"/>
        <v>0</v>
      </c>
    </row>
    <row r="152" spans="1:11">
      <c r="A152" s="193">
        <v>6019</v>
      </c>
      <c r="B152" s="194" t="s">
        <v>142</v>
      </c>
      <c r="C152" s="213">
        <f>ROUND(VLOOKUP(A152,'Contribution Allocation_Report'!$A$9:$D$314,4,FALSE)*$C$315,0)</f>
        <v>6619893</v>
      </c>
      <c r="D152" s="213">
        <f>ROUND(VLOOKUP(A152,'Contribution Allocation_Report'!$A$9:$D$314,4,FALSE)*$D$315,0)</f>
        <v>8566235</v>
      </c>
      <c r="E152" s="213">
        <f>ROUND(VLOOKUP(A152,'Contribution Allocation_Report'!$A$9:$D$314,4,FALSE)*$E$315,0)</f>
        <v>13564683</v>
      </c>
      <c r="F152" s="192"/>
      <c r="J152" s="59">
        <v>6019</v>
      </c>
      <c r="K152" s="282">
        <f t="shared" si="2"/>
        <v>0</v>
      </c>
    </row>
    <row r="153" spans="1:11">
      <c r="A153" s="195">
        <v>12128</v>
      </c>
      <c r="B153" s="196" t="s">
        <v>143</v>
      </c>
      <c r="C153" s="214">
        <f>ROUND(VLOOKUP(A153,'Contribution Allocation_Report'!$A$9:$D$314,4,FALSE)*$C$315,0)</f>
        <v>1276265</v>
      </c>
      <c r="D153" s="214">
        <f>ROUND(VLOOKUP(A153,'Contribution Allocation_Report'!$A$9:$D$314,4,FALSE)*$D$315,0)</f>
        <v>1651505</v>
      </c>
      <c r="E153" s="214">
        <f>ROUND(VLOOKUP(A153,'Contribution Allocation_Report'!$A$9:$D$314,4,FALSE)*$E$315,0)</f>
        <v>2615168</v>
      </c>
      <c r="F153" s="192"/>
      <c r="J153" s="227">
        <v>12128</v>
      </c>
      <c r="K153" s="282">
        <f t="shared" si="2"/>
        <v>0</v>
      </c>
    </row>
    <row r="154" spans="1:11">
      <c r="A154" s="193">
        <v>3180</v>
      </c>
      <c r="B154" s="194" t="s">
        <v>144</v>
      </c>
      <c r="C154" s="213">
        <f>ROUND(VLOOKUP(A154,'Contribution Allocation_Report'!$A$9:$D$314,4,FALSE)*$C$315,0)</f>
        <v>2367257</v>
      </c>
      <c r="D154" s="213">
        <f>ROUND(VLOOKUP(A154,'Contribution Allocation_Report'!$A$9:$D$314,4,FALSE)*$D$315,0)</f>
        <v>3063263</v>
      </c>
      <c r="E154" s="213">
        <f>ROUND(VLOOKUP(A154,'Contribution Allocation_Report'!$A$9:$D$314,4,FALSE)*$E$315,0)</f>
        <v>4850695</v>
      </c>
      <c r="F154" s="192"/>
      <c r="J154" s="59">
        <v>3180</v>
      </c>
      <c r="K154" s="282">
        <f t="shared" si="2"/>
        <v>0</v>
      </c>
    </row>
    <row r="155" spans="1:11">
      <c r="A155" s="195">
        <v>25075</v>
      </c>
      <c r="B155" s="196" t="s">
        <v>145</v>
      </c>
      <c r="C155" s="214">
        <f>ROUND(VLOOKUP(A155,'Contribution Allocation_Report'!$A$9:$D$314,4,FALSE)*$C$315,0)</f>
        <v>1036009</v>
      </c>
      <c r="D155" s="214">
        <f>ROUND(VLOOKUP(A155,'Contribution Allocation_Report'!$A$9:$D$314,4,FALSE)*$D$315,0)</f>
        <v>1340610</v>
      </c>
      <c r="E155" s="214">
        <f>ROUND(VLOOKUP(A155,'Contribution Allocation_Report'!$A$9:$D$314,4,FALSE)*$E$315,0)</f>
        <v>2122864</v>
      </c>
      <c r="F155" s="192"/>
      <c r="J155" s="227">
        <v>25075</v>
      </c>
      <c r="K155" s="282">
        <f t="shared" si="2"/>
        <v>0</v>
      </c>
    </row>
    <row r="156" spans="1:11">
      <c r="A156" s="193">
        <v>2311</v>
      </c>
      <c r="B156" s="194" t="s">
        <v>422</v>
      </c>
      <c r="C156" s="213">
        <f>ROUND(VLOOKUP(A156,'Contribution Allocation_Report'!$A$9:$D$314,4,FALSE)*$C$315,0)</f>
        <v>426775</v>
      </c>
      <c r="D156" s="213">
        <f>ROUND(VLOOKUP(A156,'Contribution Allocation_Report'!$A$9:$D$314,4,FALSE)*$D$315,0)</f>
        <v>552253</v>
      </c>
      <c r="E156" s="213">
        <f>ROUND(VLOOKUP(A156,'Contribution Allocation_Report'!$A$9:$D$314,4,FALSE)*$E$315,0)</f>
        <v>874497</v>
      </c>
      <c r="F156" s="192"/>
      <c r="J156" s="59">
        <v>2311</v>
      </c>
      <c r="K156" s="282">
        <f t="shared" si="2"/>
        <v>0</v>
      </c>
    </row>
    <row r="157" spans="1:11">
      <c r="A157" s="195">
        <v>9028</v>
      </c>
      <c r="B157" s="210" t="s">
        <v>146</v>
      </c>
      <c r="C157" s="214">
        <f>ROUND(VLOOKUP(A157,'Contribution Allocation_Report'!$A$9:$D$314,4,FALSE)*$C$315,0)</f>
        <v>351044</v>
      </c>
      <c r="D157" s="214">
        <f>ROUND(VLOOKUP(A157,'Contribution Allocation_Report'!$A$9:$D$314,4,FALSE)*$D$315,0)</f>
        <v>454255</v>
      </c>
      <c r="E157" s="214">
        <f>ROUND(VLOOKUP(A157,'Contribution Allocation_Report'!$A$9:$D$314,4,FALSE)*$E$315,0)</f>
        <v>719316</v>
      </c>
      <c r="F157" s="192"/>
      <c r="J157" s="227">
        <v>9028</v>
      </c>
      <c r="K157" s="282">
        <f t="shared" si="2"/>
        <v>0</v>
      </c>
    </row>
    <row r="158" spans="1:11">
      <c r="A158" s="193">
        <v>17424</v>
      </c>
      <c r="B158" s="194" t="s">
        <v>147</v>
      </c>
      <c r="C158" s="213">
        <f>ROUND(VLOOKUP(A158,'Contribution Allocation_Report'!$A$9:$D$314,4,FALSE)*$C$315,0)</f>
        <v>750637</v>
      </c>
      <c r="D158" s="213">
        <f>ROUND(VLOOKUP(A158,'Contribution Allocation_Report'!$A$9:$D$314,4,FALSE)*$D$315,0)</f>
        <v>971334</v>
      </c>
      <c r="E158" s="213">
        <f>ROUND(VLOOKUP(A158,'Contribution Allocation_Report'!$A$9:$D$314,4,FALSE)*$E$315,0)</f>
        <v>1538114</v>
      </c>
      <c r="F158" s="192"/>
      <c r="J158" s="59">
        <v>17424</v>
      </c>
      <c r="K158" s="282">
        <f t="shared" si="2"/>
        <v>0</v>
      </c>
    </row>
    <row r="159" spans="1:11">
      <c r="A159" s="195">
        <v>3200</v>
      </c>
      <c r="B159" s="196" t="s">
        <v>148</v>
      </c>
      <c r="C159" s="214">
        <f>ROUND(VLOOKUP(A159,'Contribution Allocation_Report'!$A$9:$D$314,4,FALSE)*$C$315,0)</f>
        <v>2454999</v>
      </c>
      <c r="D159" s="214">
        <f>ROUND(VLOOKUP(A159,'Contribution Allocation_Report'!$A$9:$D$314,4,FALSE)*$D$315,0)</f>
        <v>3176803</v>
      </c>
      <c r="E159" s="214">
        <f>ROUND(VLOOKUP(A159,'Contribution Allocation_Report'!$A$9:$D$314,4,FALSE)*$E$315,0)</f>
        <v>5030486</v>
      </c>
      <c r="F159" s="192"/>
      <c r="J159" s="227">
        <v>3200</v>
      </c>
      <c r="K159" s="282">
        <f t="shared" si="2"/>
        <v>0</v>
      </c>
    </row>
    <row r="160" spans="1:11">
      <c r="A160" s="193">
        <v>2365</v>
      </c>
      <c r="B160" s="194" t="s">
        <v>149</v>
      </c>
      <c r="C160" s="213">
        <f>ROUND(VLOOKUP(A160,'Contribution Allocation_Report'!$A$9:$D$314,4,FALSE)*$C$315,0)</f>
        <v>292033</v>
      </c>
      <c r="D160" s="213">
        <f>ROUND(VLOOKUP(A160,'Contribution Allocation_Report'!$A$9:$D$314,4,FALSE)*$D$315,0)</f>
        <v>377895</v>
      </c>
      <c r="E160" s="213">
        <f>ROUND(VLOOKUP(A160,'Contribution Allocation_Report'!$A$9:$D$314,4,FALSE)*$E$315,0)</f>
        <v>598398</v>
      </c>
      <c r="F160" s="192"/>
      <c r="J160" s="59">
        <v>2365</v>
      </c>
      <c r="K160" s="282">
        <f t="shared" si="2"/>
        <v>0</v>
      </c>
    </row>
    <row r="161" spans="1:11">
      <c r="A161" s="195">
        <v>5014</v>
      </c>
      <c r="B161" s="196" t="s">
        <v>150</v>
      </c>
      <c r="C161" s="214">
        <f>ROUND(VLOOKUP(A161,'Contribution Allocation_Report'!$A$9:$D$314,4,FALSE)*$C$315,0)</f>
        <v>529831</v>
      </c>
      <c r="D161" s="214">
        <f>ROUND(VLOOKUP(A161,'Contribution Allocation_Report'!$A$9:$D$314,4,FALSE)*$D$315,0)</f>
        <v>685608</v>
      </c>
      <c r="E161" s="214">
        <f>ROUND(VLOOKUP(A161,'Contribution Allocation_Report'!$A$9:$D$314,4,FALSE)*$E$315,0)</f>
        <v>1085665</v>
      </c>
      <c r="F161" s="192"/>
      <c r="J161" s="227">
        <v>5014</v>
      </c>
      <c r="K161" s="282">
        <f t="shared" si="2"/>
        <v>0</v>
      </c>
    </row>
    <row r="162" spans="1:11">
      <c r="A162" s="193">
        <v>17127</v>
      </c>
      <c r="B162" s="194" t="s">
        <v>151</v>
      </c>
      <c r="C162" s="213">
        <f>ROUND(VLOOKUP(A162,'Contribution Allocation_Report'!$A$9:$D$314,4,FALSE)*$C$315,0)</f>
        <v>599065</v>
      </c>
      <c r="D162" s="213">
        <f>ROUND(VLOOKUP(A162,'Contribution Allocation_Report'!$A$9:$D$314,4,FALSE)*$D$315,0)</f>
        <v>775198</v>
      </c>
      <c r="E162" s="213">
        <f>ROUND(VLOOKUP(A162,'Contribution Allocation_Report'!$A$9:$D$314,4,FALSE)*$E$315,0)</f>
        <v>1227531</v>
      </c>
      <c r="F162" s="192"/>
      <c r="J162" s="59">
        <v>17127</v>
      </c>
      <c r="K162" s="282">
        <f t="shared" si="2"/>
        <v>0</v>
      </c>
    </row>
    <row r="163" spans="1:11">
      <c r="A163" s="195">
        <v>10141</v>
      </c>
      <c r="B163" s="196" t="s">
        <v>152</v>
      </c>
      <c r="C163" s="214">
        <f>ROUND(VLOOKUP(A163,'Contribution Allocation_Report'!$A$9:$D$314,4,FALSE)*$C$315,0)</f>
        <v>770585</v>
      </c>
      <c r="D163" s="214">
        <f>ROUND(VLOOKUP(A163,'Contribution Allocation_Report'!$A$9:$D$314,4,FALSE)*$D$315,0)</f>
        <v>997148</v>
      </c>
      <c r="E163" s="214">
        <f>ROUND(VLOOKUP(A163,'Contribution Allocation_Report'!$A$9:$D$314,4,FALSE)*$E$315,0)</f>
        <v>1578989</v>
      </c>
      <c r="F163" s="192"/>
      <c r="J163" s="227">
        <v>10141</v>
      </c>
      <c r="K163" s="282">
        <f t="shared" si="2"/>
        <v>0</v>
      </c>
    </row>
    <row r="164" spans="1:11">
      <c r="A164" s="193">
        <v>4570</v>
      </c>
      <c r="B164" s="194" t="s">
        <v>400</v>
      </c>
      <c r="C164" s="213">
        <f>ROUND(VLOOKUP(A164,'Contribution Allocation_Report'!$A$9:$D$314,4,FALSE)*$C$315,0)</f>
        <v>2092779</v>
      </c>
      <c r="D164" s="213">
        <f>ROUND(VLOOKUP(A164,'Contribution Allocation_Report'!$A$9:$D$314,4,FALSE)*$D$315,0)</f>
        <v>2708085</v>
      </c>
      <c r="E164" s="213">
        <f>ROUND(VLOOKUP(A164,'Contribution Allocation_Report'!$A$9:$D$314,4,FALSE)*$E$315,0)</f>
        <v>4288269</v>
      </c>
      <c r="F164" s="192"/>
      <c r="J164" s="227">
        <v>4570</v>
      </c>
      <c r="K164" s="282">
        <f t="shared" si="2"/>
        <v>0</v>
      </c>
    </row>
    <row r="165" spans="1:11">
      <c r="A165" s="195">
        <v>13369</v>
      </c>
      <c r="B165" s="196" t="s">
        <v>153</v>
      </c>
      <c r="C165" s="214">
        <f>ROUND(VLOOKUP(A165,'Contribution Allocation_Report'!$A$9:$D$314,4,FALSE)*$C$315,0)</f>
        <v>195573</v>
      </c>
      <c r="D165" s="214">
        <f>ROUND(VLOOKUP(A165,'Contribution Allocation_Report'!$A$9:$D$314,4,FALSE)*$D$315,0)</f>
        <v>253074</v>
      </c>
      <c r="E165" s="214">
        <f>ROUND(VLOOKUP(A165,'Contribution Allocation_Report'!$A$9:$D$314,4,FALSE)*$E$315,0)</f>
        <v>400744</v>
      </c>
      <c r="F165" s="192"/>
      <c r="J165" s="59">
        <v>13369</v>
      </c>
      <c r="K165" s="282">
        <f t="shared" si="2"/>
        <v>0</v>
      </c>
    </row>
    <row r="166" spans="1:11">
      <c r="A166" s="193">
        <v>2425</v>
      </c>
      <c r="B166" s="194" t="s">
        <v>154</v>
      </c>
      <c r="C166" s="213">
        <f>ROUND(VLOOKUP(A166,'Contribution Allocation_Report'!$A$9:$D$314,4,FALSE)*$C$315,0)</f>
        <v>3482528</v>
      </c>
      <c r="D166" s="213">
        <f>ROUND(VLOOKUP(A166,'Contribution Allocation_Report'!$A$9:$D$314,4,FALSE)*$D$315,0)</f>
        <v>4506440</v>
      </c>
      <c r="E166" s="213">
        <f>ROUND(VLOOKUP(A166,'Contribution Allocation_Report'!$A$9:$D$314,4,FALSE)*$E$315,0)</f>
        <v>7135975</v>
      </c>
      <c r="F166" s="192"/>
      <c r="J166" s="59">
        <v>2425</v>
      </c>
      <c r="K166" s="282">
        <f t="shared" si="2"/>
        <v>0</v>
      </c>
    </row>
    <row r="167" spans="1:11">
      <c r="A167" s="195">
        <v>1306</v>
      </c>
      <c r="B167" s="196" t="s">
        <v>155</v>
      </c>
      <c r="C167" s="214">
        <f>ROUND(VLOOKUP(A167,'Contribution Allocation_Report'!$A$9:$D$314,4,FALSE)*$C$315,0)</f>
        <v>589686</v>
      </c>
      <c r="D167" s="214">
        <f>ROUND(VLOOKUP(A167,'Contribution Allocation_Report'!$A$9:$D$314,4,FALSE)*$D$315,0)</f>
        <v>763062</v>
      </c>
      <c r="E167" s="214">
        <f>ROUND(VLOOKUP(A167,'Contribution Allocation_Report'!$A$9:$D$314,4,FALSE)*$E$315,0)</f>
        <v>1208313</v>
      </c>
      <c r="F167" s="192"/>
      <c r="J167" s="227">
        <v>1306</v>
      </c>
      <c r="K167" s="282">
        <f t="shared" si="2"/>
        <v>0</v>
      </c>
    </row>
    <row r="168" spans="1:11">
      <c r="A168" s="193">
        <v>2351</v>
      </c>
      <c r="B168" s="194" t="s">
        <v>156</v>
      </c>
      <c r="C168" s="213">
        <f>ROUND(VLOOKUP(A168,'Contribution Allocation_Report'!$A$9:$D$314,4,FALSE)*$C$315,0)</f>
        <v>647961</v>
      </c>
      <c r="D168" s="213">
        <f>ROUND(VLOOKUP(A168,'Contribution Allocation_Report'!$A$9:$D$314,4,FALSE)*$D$315,0)</f>
        <v>838470</v>
      </c>
      <c r="E168" s="213">
        <f>ROUND(VLOOKUP(A168,'Contribution Allocation_Report'!$A$9:$D$314,4,FALSE)*$E$315,0)</f>
        <v>1327722</v>
      </c>
      <c r="F168" s="192"/>
      <c r="J168" s="59">
        <v>2351</v>
      </c>
      <c r="K168" s="282">
        <f t="shared" si="2"/>
        <v>0</v>
      </c>
    </row>
    <row r="169" spans="1:11">
      <c r="A169" s="195">
        <v>2334</v>
      </c>
      <c r="B169" s="196" t="s">
        <v>157</v>
      </c>
      <c r="C169" s="214">
        <f>ROUND(VLOOKUP(A169,'Contribution Allocation_Report'!$A$9:$D$314,4,FALSE)*$C$315,0)</f>
        <v>452323</v>
      </c>
      <c r="D169" s="214">
        <f>ROUND(VLOOKUP(A169,'Contribution Allocation_Report'!$A$9:$D$314,4,FALSE)*$D$315,0)</f>
        <v>585312</v>
      </c>
      <c r="E169" s="214">
        <f>ROUND(VLOOKUP(A169,'Contribution Allocation_Report'!$A$9:$D$314,4,FALSE)*$E$315,0)</f>
        <v>926845</v>
      </c>
      <c r="F169" s="192"/>
      <c r="J169" s="227">
        <v>2334</v>
      </c>
      <c r="K169" s="282">
        <f t="shared" si="2"/>
        <v>0</v>
      </c>
    </row>
    <row r="170" spans="1:11">
      <c r="A170" s="193">
        <v>30089</v>
      </c>
      <c r="B170" s="194" t="s">
        <v>158</v>
      </c>
      <c r="C170" s="213">
        <f>ROUND(VLOOKUP(A170,'Contribution Allocation_Report'!$A$9:$D$314,4,FALSE)*$C$315,0)</f>
        <v>1134245</v>
      </c>
      <c r="D170" s="213">
        <f>ROUND(VLOOKUP(A170,'Contribution Allocation_Report'!$A$9:$D$314,4,FALSE)*$D$315,0)</f>
        <v>1467729</v>
      </c>
      <c r="E170" s="213">
        <f>ROUND(VLOOKUP(A170,'Contribution Allocation_Report'!$A$9:$D$314,4,FALSE)*$E$315,0)</f>
        <v>2324158</v>
      </c>
      <c r="F170" s="192"/>
      <c r="J170" s="59">
        <v>30089</v>
      </c>
      <c r="K170" s="282">
        <f t="shared" si="2"/>
        <v>0</v>
      </c>
    </row>
    <row r="171" spans="1:11">
      <c r="A171" s="195">
        <v>9324</v>
      </c>
      <c r="B171" s="196" t="s">
        <v>159</v>
      </c>
      <c r="C171" s="214">
        <f>ROUND(VLOOKUP(A171,'Contribution Allocation_Report'!$A$9:$D$314,4,FALSE)*$C$315,0)</f>
        <v>136714</v>
      </c>
      <c r="D171" s="214">
        <f>ROUND(VLOOKUP(A171,'Contribution Allocation_Report'!$A$9:$D$314,4,FALSE)*$D$315,0)</f>
        <v>176909</v>
      </c>
      <c r="E171" s="214">
        <f>ROUND(VLOOKUP(A171,'Contribution Allocation_Report'!$A$9:$D$314,4,FALSE)*$E$315,0)</f>
        <v>280137</v>
      </c>
      <c r="F171" s="192"/>
      <c r="J171" s="227">
        <v>9324</v>
      </c>
      <c r="K171" s="282">
        <f t="shared" si="2"/>
        <v>0</v>
      </c>
    </row>
    <row r="172" spans="1:11">
      <c r="A172" s="193">
        <v>22066</v>
      </c>
      <c r="B172" s="194" t="s">
        <v>160</v>
      </c>
      <c r="C172" s="213">
        <f>ROUND(VLOOKUP(A172,'Contribution Allocation_Report'!$A$9:$D$314,4,FALSE)*$C$315,0)</f>
        <v>4828937</v>
      </c>
      <c r="D172" s="213">
        <f>ROUND(VLOOKUP(A172,'Contribution Allocation_Report'!$A$9:$D$314,4,FALSE)*$D$315,0)</f>
        <v>6248713</v>
      </c>
      <c r="E172" s="213">
        <f>ROUND(VLOOKUP(A172,'Contribution Allocation_Report'!$A$9:$D$314,4,FALSE)*$E$315,0)</f>
        <v>9894873</v>
      </c>
      <c r="F172" s="192"/>
      <c r="J172" s="59">
        <v>22066</v>
      </c>
      <c r="K172" s="282">
        <f t="shared" si="2"/>
        <v>0</v>
      </c>
    </row>
    <row r="173" spans="1:11">
      <c r="A173" s="195">
        <v>16356</v>
      </c>
      <c r="B173" s="196" t="s">
        <v>161</v>
      </c>
      <c r="C173" s="214">
        <f>ROUND(VLOOKUP(A173,'Contribution Allocation_Report'!$A$9:$D$314,4,FALSE)*$C$315,0)</f>
        <v>299072</v>
      </c>
      <c r="D173" s="214">
        <f>ROUND(VLOOKUP(A173,'Contribution Allocation_Report'!$A$9:$D$314,4,FALSE)*$D$315,0)</f>
        <v>387003</v>
      </c>
      <c r="E173" s="214">
        <f>ROUND(VLOOKUP(A173,'Contribution Allocation_Report'!$A$9:$D$314,4,FALSE)*$E$315,0)</f>
        <v>612822</v>
      </c>
      <c r="F173" s="192"/>
      <c r="J173" s="227">
        <v>16356</v>
      </c>
      <c r="K173" s="282">
        <f t="shared" si="2"/>
        <v>0</v>
      </c>
    </row>
    <row r="174" spans="1:11">
      <c r="A174" s="193">
        <v>31091</v>
      </c>
      <c r="B174" s="194" t="s">
        <v>162</v>
      </c>
      <c r="C174" s="213">
        <f>ROUND(VLOOKUP(A174,'Contribution Allocation_Report'!$A$9:$D$314,4,FALSE)*$C$315,0)</f>
        <v>281831</v>
      </c>
      <c r="D174" s="213">
        <f>ROUND(VLOOKUP(A174,'Contribution Allocation_Report'!$A$9:$D$314,4,FALSE)*$D$315,0)</f>
        <v>364694</v>
      </c>
      <c r="E174" s="213">
        <f>ROUND(VLOOKUP(A174,'Contribution Allocation_Report'!$A$9:$D$314,4,FALSE)*$E$315,0)</f>
        <v>577494</v>
      </c>
      <c r="F174" s="192"/>
      <c r="J174" s="59">
        <v>31091</v>
      </c>
      <c r="K174" s="282">
        <f t="shared" si="2"/>
        <v>0</v>
      </c>
    </row>
    <row r="175" spans="1:11">
      <c r="A175" s="195">
        <v>2342</v>
      </c>
      <c r="B175" s="196" t="s">
        <v>163</v>
      </c>
      <c r="C175" s="214">
        <f>ROUND(VLOOKUP(A175,'Contribution Allocation_Report'!$A$9:$D$314,4,FALSE)*$C$315,0)</f>
        <v>456037</v>
      </c>
      <c r="D175" s="214">
        <f>ROUND(VLOOKUP(A175,'Contribution Allocation_Report'!$A$9:$D$314,4,FALSE)*$D$315,0)</f>
        <v>590119</v>
      </c>
      <c r="E175" s="214">
        <f>ROUND(VLOOKUP(A175,'Contribution Allocation_Report'!$A$9:$D$314,4,FALSE)*$E$315,0)</f>
        <v>934456</v>
      </c>
      <c r="F175" s="192"/>
      <c r="J175" s="227">
        <v>2342</v>
      </c>
      <c r="K175" s="282">
        <f t="shared" si="2"/>
        <v>0</v>
      </c>
    </row>
    <row r="176" spans="1:11">
      <c r="A176" s="193">
        <v>22067</v>
      </c>
      <c r="B176" s="194" t="s">
        <v>164</v>
      </c>
      <c r="C176" s="213">
        <f>ROUND(VLOOKUP(A176,'Contribution Allocation_Report'!$A$9:$D$314,4,FALSE)*$C$315,0)</f>
        <v>653744</v>
      </c>
      <c r="D176" s="213">
        <f>ROUND(VLOOKUP(A176,'Contribution Allocation_Report'!$A$9:$D$314,4,FALSE)*$D$315,0)</f>
        <v>845953</v>
      </c>
      <c r="E176" s="213">
        <f>ROUND(VLOOKUP(A176,'Contribution Allocation_Report'!$A$9:$D$314,4,FALSE)*$E$315,0)</f>
        <v>1339572</v>
      </c>
      <c r="F176" s="192"/>
      <c r="J176" s="59">
        <v>22067</v>
      </c>
      <c r="K176" s="282">
        <f t="shared" si="2"/>
        <v>0</v>
      </c>
    </row>
    <row r="177" spans="1:11">
      <c r="A177" s="195">
        <v>32112</v>
      </c>
      <c r="B177" s="196" t="s">
        <v>165</v>
      </c>
      <c r="C177" s="214">
        <f>ROUND(VLOOKUP(A177,'Contribution Allocation_Report'!$A$9:$D$314,4,FALSE)*$C$315,0)</f>
        <v>252678</v>
      </c>
      <c r="D177" s="214">
        <f>ROUND(VLOOKUP(A177,'Contribution Allocation_Report'!$A$9:$D$314,4,FALSE)*$D$315,0)</f>
        <v>326969</v>
      </c>
      <c r="E177" s="214">
        <f>ROUND(VLOOKUP(A177,'Contribution Allocation_Report'!$A$9:$D$314,4,FALSE)*$E$315,0)</f>
        <v>517757</v>
      </c>
      <c r="F177" s="192"/>
      <c r="J177" s="227">
        <v>32112</v>
      </c>
      <c r="K177" s="282">
        <f t="shared" si="2"/>
        <v>0</v>
      </c>
    </row>
    <row r="178" spans="1:11">
      <c r="A178" s="193">
        <v>2354</v>
      </c>
      <c r="B178" s="194" t="s">
        <v>166</v>
      </c>
      <c r="C178" s="213">
        <f>ROUND(VLOOKUP(A178,'Contribution Allocation_Report'!$A$9:$D$314,4,FALSE)*$C$315,0)</f>
        <v>1018151</v>
      </c>
      <c r="D178" s="213">
        <f>ROUND(VLOOKUP(A178,'Contribution Allocation_Report'!$A$9:$D$314,4,FALSE)*$D$315,0)</f>
        <v>1317502</v>
      </c>
      <c r="E178" s="213">
        <f>ROUND(VLOOKUP(A178,'Contribution Allocation_Report'!$A$9:$D$314,4,FALSE)*$E$315,0)</f>
        <v>2086272</v>
      </c>
      <c r="F178" s="192"/>
      <c r="J178" s="59">
        <v>2354</v>
      </c>
      <c r="K178" s="282">
        <f t="shared" si="2"/>
        <v>0</v>
      </c>
    </row>
    <row r="179" spans="1:11">
      <c r="A179" s="195">
        <v>2148</v>
      </c>
      <c r="B179" s="196" t="s">
        <v>167</v>
      </c>
      <c r="C179" s="214">
        <f>ROUND(VLOOKUP(A179,'Contribution Allocation_Report'!$A$9:$D$314,4,FALSE)*$C$315,0)</f>
        <v>298574</v>
      </c>
      <c r="D179" s="214">
        <f>ROUND(VLOOKUP(A179,'Contribution Allocation_Report'!$A$9:$D$314,4,FALSE)*$D$315,0)</f>
        <v>386359</v>
      </c>
      <c r="E179" s="214">
        <f>ROUND(VLOOKUP(A179,'Contribution Allocation_Report'!$A$9:$D$314,4,FALSE)*$E$315,0)</f>
        <v>611801</v>
      </c>
      <c r="F179" s="192"/>
      <c r="J179" s="227">
        <v>2148</v>
      </c>
      <c r="K179" s="282">
        <f t="shared" si="2"/>
        <v>0</v>
      </c>
    </row>
    <row r="180" spans="1:11">
      <c r="A180" s="193">
        <v>1418</v>
      </c>
      <c r="B180" s="194" t="s">
        <v>168</v>
      </c>
      <c r="C180" s="213">
        <f>ROUND(VLOOKUP(A180,'Contribution Allocation_Report'!$A$9:$D$314,4,FALSE)*$C$315,0)</f>
        <v>1367689</v>
      </c>
      <c r="D180" s="213">
        <f>ROUND(VLOOKUP(A180,'Contribution Allocation_Report'!$A$9:$D$314,4,FALSE)*$D$315,0)</f>
        <v>1769809</v>
      </c>
      <c r="E180" s="213">
        <f>ROUND(VLOOKUP(A180,'Contribution Allocation_Report'!$A$9:$D$314,4,FALSE)*$E$315,0)</f>
        <v>2802503</v>
      </c>
      <c r="F180" s="192"/>
      <c r="J180" s="59">
        <v>1418</v>
      </c>
      <c r="K180" s="282">
        <f t="shared" si="2"/>
        <v>0</v>
      </c>
    </row>
    <row r="181" spans="1:11">
      <c r="A181" s="195">
        <v>12102</v>
      </c>
      <c r="B181" s="196" t="s">
        <v>169</v>
      </c>
      <c r="C181" s="214">
        <f>ROUND(VLOOKUP(A181,'Contribution Allocation_Report'!$A$9:$D$314,4,FALSE)*$C$315,0)</f>
        <v>6835610</v>
      </c>
      <c r="D181" s="214">
        <f>ROUND(VLOOKUP(A181,'Contribution Allocation_Report'!$A$9:$D$314,4,FALSE)*$D$315,0)</f>
        <v>8845375</v>
      </c>
      <c r="E181" s="214">
        <f>ROUND(VLOOKUP(A181,'Contribution Allocation_Report'!$A$9:$D$314,4,FALSE)*$E$315,0)</f>
        <v>14006702</v>
      </c>
      <c r="F181" s="192"/>
      <c r="J181" s="227">
        <v>12102</v>
      </c>
      <c r="K181" s="282">
        <f t="shared" si="2"/>
        <v>0</v>
      </c>
    </row>
    <row r="182" spans="1:11">
      <c r="A182" s="193">
        <v>2414</v>
      </c>
      <c r="B182" s="194" t="s">
        <v>170</v>
      </c>
      <c r="C182" s="213">
        <f>ROUND(VLOOKUP(A182,'Contribution Allocation_Report'!$A$9:$D$314,4,FALSE)*$C$315,0)</f>
        <v>690911</v>
      </c>
      <c r="D182" s="213">
        <f>ROUND(VLOOKUP(A182,'Contribution Allocation_Report'!$A$9:$D$314,4,FALSE)*$D$315,0)</f>
        <v>894049</v>
      </c>
      <c r="E182" s="213">
        <f>ROUND(VLOOKUP(A182,'Contribution Allocation_Report'!$A$9:$D$314,4,FALSE)*$E$315,0)</f>
        <v>1415731</v>
      </c>
      <c r="F182" s="192"/>
      <c r="J182" s="59">
        <v>2414</v>
      </c>
      <c r="K182" s="282">
        <f t="shared" si="2"/>
        <v>0</v>
      </c>
    </row>
    <row r="183" spans="1:11">
      <c r="A183" s="195">
        <v>6124</v>
      </c>
      <c r="B183" s="196" t="s">
        <v>171</v>
      </c>
      <c r="C183" s="214">
        <f>ROUND(VLOOKUP(A183,'Contribution Allocation_Report'!$A$9:$D$314,4,FALSE)*$C$315,0)</f>
        <v>4088491</v>
      </c>
      <c r="D183" s="214">
        <f>ROUND(VLOOKUP(A183,'Contribution Allocation_Report'!$A$9:$D$314,4,FALSE)*$D$315,0)</f>
        <v>5290565</v>
      </c>
      <c r="E183" s="214">
        <f>ROUND(VLOOKUP(A183,'Contribution Allocation_Report'!$A$9:$D$314,4,FALSE)*$E$315,0)</f>
        <v>8377641</v>
      </c>
      <c r="F183" s="192"/>
      <c r="J183" s="227">
        <v>6124</v>
      </c>
      <c r="K183" s="282">
        <f t="shared" si="2"/>
        <v>0</v>
      </c>
    </row>
    <row r="184" spans="1:11">
      <c r="A184" s="193">
        <v>4097</v>
      </c>
      <c r="B184" s="194" t="s">
        <v>172</v>
      </c>
      <c r="C184" s="213">
        <f>ROUND(VLOOKUP(A184,'Contribution Allocation_Report'!$A$9:$D$314,4,FALSE)*$C$315,0)</f>
        <v>3937461</v>
      </c>
      <c r="D184" s="213">
        <f>ROUND(VLOOKUP(A184,'Contribution Allocation_Report'!$A$9:$D$314,4,FALSE)*$D$315,0)</f>
        <v>5095130</v>
      </c>
      <c r="E184" s="213">
        <f>ROUND(VLOOKUP(A184,'Contribution Allocation_Report'!$A$9:$D$314,4,FALSE)*$E$315,0)</f>
        <v>8068167</v>
      </c>
      <c r="F184" s="192"/>
      <c r="J184" s="59">
        <v>4097</v>
      </c>
      <c r="K184" s="282">
        <f t="shared" si="2"/>
        <v>0</v>
      </c>
    </row>
    <row r="185" spans="1:11">
      <c r="A185" s="195">
        <v>1416</v>
      </c>
      <c r="B185" s="196" t="s">
        <v>173</v>
      </c>
      <c r="C185" s="214">
        <f>ROUND(VLOOKUP(A185,'Contribution Allocation_Report'!$A$9:$D$314,4,FALSE)*$C$315,0)</f>
        <v>593726</v>
      </c>
      <c r="D185" s="214">
        <f>ROUND(VLOOKUP(A185,'Contribution Allocation_Report'!$A$9:$D$314,4,FALSE)*$D$315,0)</f>
        <v>768289</v>
      </c>
      <c r="E185" s="214">
        <f>ROUND(VLOOKUP(A185,'Contribution Allocation_Report'!$A$9:$D$314,4,FALSE)*$E$315,0)</f>
        <v>1216591</v>
      </c>
      <c r="F185" s="192"/>
      <c r="J185" s="227">
        <v>1416</v>
      </c>
      <c r="K185" s="282">
        <f t="shared" si="2"/>
        <v>0</v>
      </c>
    </row>
    <row r="186" spans="1:11">
      <c r="A186" s="193">
        <v>1094</v>
      </c>
      <c r="B186" s="194" t="s">
        <v>174</v>
      </c>
      <c r="C186" s="213">
        <f>ROUND(VLOOKUP(A186,'Contribution Allocation_Report'!$A$9:$D$314,4,FALSE)*$C$315,0)</f>
        <v>2626216</v>
      </c>
      <c r="D186" s="213">
        <f>ROUND(VLOOKUP(A186,'Contribution Allocation_Report'!$A$9:$D$314,4,FALSE)*$D$315,0)</f>
        <v>3398360</v>
      </c>
      <c r="E186" s="213">
        <f>ROUND(VLOOKUP(A186,'Contribution Allocation_Report'!$A$9:$D$314,4,FALSE)*$E$315,0)</f>
        <v>5381323</v>
      </c>
      <c r="F186" s="192"/>
      <c r="J186" s="59">
        <v>1094</v>
      </c>
      <c r="K186" s="282">
        <f t="shared" si="2"/>
        <v>0</v>
      </c>
    </row>
    <row r="187" spans="1:11">
      <c r="A187" s="195">
        <v>32111</v>
      </c>
      <c r="B187" s="196" t="s">
        <v>175</v>
      </c>
      <c r="C187" s="214">
        <f>ROUND(VLOOKUP(A187,'Contribution Allocation_Report'!$A$9:$D$314,4,FALSE)*$C$315,0)</f>
        <v>2732747</v>
      </c>
      <c r="D187" s="214">
        <f>ROUND(VLOOKUP(A187,'Contribution Allocation_Report'!$A$9:$D$314,4,FALSE)*$D$315,0)</f>
        <v>3536213</v>
      </c>
      <c r="E187" s="214">
        <f>ROUND(VLOOKUP(A187,'Contribution Allocation_Report'!$A$9:$D$314,4,FALSE)*$E$315,0)</f>
        <v>5599614</v>
      </c>
      <c r="F187" s="192"/>
      <c r="J187" s="227">
        <v>32111</v>
      </c>
      <c r="K187" s="282">
        <f t="shared" si="2"/>
        <v>0</v>
      </c>
    </row>
    <row r="188" spans="1:11">
      <c r="A188" s="193">
        <v>2520</v>
      </c>
      <c r="B188" s="194" t="s">
        <v>176</v>
      </c>
      <c r="C188" s="213">
        <f>ROUND(VLOOKUP(A188,'Contribution Allocation_Report'!$A$9:$D$314,4,FALSE)*$C$315,0)</f>
        <v>486349</v>
      </c>
      <c r="D188" s="213">
        <f>ROUND(VLOOKUP(A188,'Contribution Allocation_Report'!$A$9:$D$314,4,FALSE)*$D$315,0)</f>
        <v>629343</v>
      </c>
      <c r="E188" s="213">
        <f>ROUND(VLOOKUP(A188,'Contribution Allocation_Report'!$A$9:$D$314,4,FALSE)*$E$315,0)</f>
        <v>996568</v>
      </c>
      <c r="F188" s="192"/>
      <c r="J188" s="59">
        <v>2520</v>
      </c>
      <c r="K188" s="282">
        <f t="shared" si="2"/>
        <v>0</v>
      </c>
    </row>
    <row r="189" spans="1:11">
      <c r="A189" s="195">
        <v>3450</v>
      </c>
      <c r="B189" s="196" t="s">
        <v>177</v>
      </c>
      <c r="C189" s="214">
        <f>ROUND(VLOOKUP(A189,'Contribution Allocation_Report'!$A$9:$D$314,4,FALSE)*$C$315,0)</f>
        <v>851244</v>
      </c>
      <c r="D189" s="214">
        <f>ROUND(VLOOKUP(A189,'Contribution Allocation_Report'!$A$9:$D$314,4,FALSE)*$D$315,0)</f>
        <v>1101522</v>
      </c>
      <c r="E189" s="214">
        <f>ROUND(VLOOKUP(A189,'Contribution Allocation_Report'!$A$9:$D$314,4,FALSE)*$E$315,0)</f>
        <v>1744267</v>
      </c>
      <c r="F189" s="192"/>
      <c r="J189" s="227">
        <v>3450</v>
      </c>
      <c r="K189" s="282">
        <f t="shared" si="2"/>
        <v>0</v>
      </c>
    </row>
    <row r="190" spans="1:11">
      <c r="A190" s="193">
        <v>4310</v>
      </c>
      <c r="B190" s="194" t="s">
        <v>178</v>
      </c>
      <c r="C190" s="213">
        <f>ROUND(VLOOKUP(A190,'Contribution Allocation_Report'!$A$9:$D$314,4,FALSE)*$C$315,0)</f>
        <v>406069</v>
      </c>
      <c r="D190" s="213">
        <f>ROUND(VLOOKUP(A190,'Contribution Allocation_Report'!$A$9:$D$314,4,FALSE)*$D$315,0)</f>
        <v>525459</v>
      </c>
      <c r="E190" s="213">
        <f>ROUND(VLOOKUP(A190,'Contribution Allocation_Report'!$A$9:$D$314,4,FALSE)*$E$315,0)</f>
        <v>832068</v>
      </c>
      <c r="F190" s="192"/>
      <c r="J190" s="59">
        <v>4310</v>
      </c>
      <c r="K190" s="282">
        <f t="shared" si="2"/>
        <v>0</v>
      </c>
    </row>
    <row r="191" spans="1:11">
      <c r="A191" s="195">
        <v>2328</v>
      </c>
      <c r="B191" s="196" t="s">
        <v>179</v>
      </c>
      <c r="C191" s="214">
        <f>ROUND(VLOOKUP(A191,'Contribution Allocation_Report'!$A$9:$D$314,4,FALSE)*$C$315,0)</f>
        <v>595578</v>
      </c>
      <c r="D191" s="214">
        <f>ROUND(VLOOKUP(A191,'Contribution Allocation_Report'!$A$9:$D$314,4,FALSE)*$D$315,0)</f>
        <v>770686</v>
      </c>
      <c r="E191" s="214">
        <f>ROUND(VLOOKUP(A191,'Contribution Allocation_Report'!$A$9:$D$314,4,FALSE)*$E$315,0)</f>
        <v>1220385</v>
      </c>
      <c r="F191" s="192"/>
      <c r="J191" s="227">
        <v>2328</v>
      </c>
      <c r="K191" s="282">
        <f t="shared" si="2"/>
        <v>0</v>
      </c>
    </row>
    <row r="192" spans="1:11">
      <c r="A192" s="193">
        <v>12151</v>
      </c>
      <c r="B192" s="194" t="s">
        <v>180</v>
      </c>
      <c r="C192" s="213">
        <f>ROUND(VLOOKUP(A192,'Contribution Allocation_Report'!$A$9:$D$314,4,FALSE)*$C$315,0)</f>
        <v>278875</v>
      </c>
      <c r="D192" s="213">
        <f>ROUND(VLOOKUP(A192,'Contribution Allocation_Report'!$A$9:$D$314,4,FALSE)*$D$315,0)</f>
        <v>360868</v>
      </c>
      <c r="E192" s="213">
        <f>ROUND(VLOOKUP(A192,'Contribution Allocation_Report'!$A$9:$D$314,4,FALSE)*$E$315,0)</f>
        <v>571436</v>
      </c>
      <c r="F192" s="192"/>
      <c r="J192" s="59">
        <v>12151</v>
      </c>
      <c r="K192" s="282">
        <f t="shared" si="2"/>
        <v>0</v>
      </c>
    </row>
    <row r="193" spans="1:11">
      <c r="A193" s="195">
        <v>32110</v>
      </c>
      <c r="B193" s="196" t="s">
        <v>181</v>
      </c>
      <c r="C193" s="214">
        <f>ROUND(VLOOKUP(A193,'Contribution Allocation_Report'!$A$9:$D$314,4,FALSE)*$C$315,0)</f>
        <v>2816525</v>
      </c>
      <c r="D193" s="214">
        <f>ROUND(VLOOKUP(A193,'Contribution Allocation_Report'!$A$9:$D$314,4,FALSE)*$D$315,0)</f>
        <v>3644623</v>
      </c>
      <c r="E193" s="214">
        <f>ROUND(VLOOKUP(A193,'Contribution Allocation_Report'!$A$9:$D$314,4,FALSE)*$E$315,0)</f>
        <v>5771282</v>
      </c>
      <c r="F193" s="192"/>
      <c r="J193" s="227">
        <v>32110</v>
      </c>
      <c r="K193" s="282">
        <f t="shared" si="2"/>
        <v>0</v>
      </c>
    </row>
    <row r="194" spans="1:11">
      <c r="A194" s="193">
        <v>4215</v>
      </c>
      <c r="B194" s="194" t="s">
        <v>468</v>
      </c>
      <c r="C194" s="213">
        <f>ROUND(VLOOKUP(A194,'Contribution Allocation_Report'!$A$9:$D$314,4,FALSE)*$C$315,0)</f>
        <v>386695</v>
      </c>
      <c r="D194" s="213">
        <f>ROUND(VLOOKUP(A194,'Contribution Allocation_Report'!$A$9:$D$314,4,FALSE)*$D$315,0)</f>
        <v>500389</v>
      </c>
      <c r="E194" s="213">
        <f>ROUND(VLOOKUP(A194,'Contribution Allocation_Report'!$A$9:$D$314,4,FALSE)*$E$315,0)</f>
        <v>792368</v>
      </c>
      <c r="F194" s="192"/>
      <c r="J194" s="227"/>
      <c r="K194" s="282"/>
    </row>
    <row r="195" spans="1:11">
      <c r="A195" s="195">
        <v>2870</v>
      </c>
      <c r="B195" s="196" t="s">
        <v>183</v>
      </c>
      <c r="C195" s="214">
        <f>ROUND(VLOOKUP(A195,'Contribution Allocation_Report'!$A$9:$D$314,4,FALSE)*$C$315,0)</f>
        <v>450135</v>
      </c>
      <c r="D195" s="214">
        <f>ROUND(VLOOKUP(A195,'Contribution Allocation_Report'!$A$9:$D$314,4,FALSE)*$D$315,0)</f>
        <v>582481</v>
      </c>
      <c r="E195" s="214">
        <f>ROUND(VLOOKUP(A195,'Contribution Allocation_Report'!$A$9:$D$314,4,FALSE)*$E$315,0)</f>
        <v>922362</v>
      </c>
      <c r="F195" s="192"/>
      <c r="J195" s="59">
        <v>2870</v>
      </c>
      <c r="K195" s="282">
        <f t="shared" si="2"/>
        <v>0</v>
      </c>
    </row>
    <row r="196" spans="1:11">
      <c r="A196" s="193">
        <v>29150</v>
      </c>
      <c r="B196" s="194" t="s">
        <v>184</v>
      </c>
      <c r="C196" s="213">
        <f>ROUND(VLOOKUP(A196,'Contribution Allocation_Report'!$A$9:$D$314,4,FALSE)*$C$315,0)</f>
        <v>87720</v>
      </c>
      <c r="D196" s="213">
        <f>ROUND(VLOOKUP(A196,'Contribution Allocation_Report'!$A$9:$D$314,4,FALSE)*$D$315,0)</f>
        <v>113511</v>
      </c>
      <c r="E196" s="213">
        <f>ROUND(VLOOKUP(A196,'Contribution Allocation_Report'!$A$9:$D$314,4,FALSE)*$E$315,0)</f>
        <v>179746</v>
      </c>
      <c r="F196" s="192"/>
      <c r="J196" s="227">
        <v>29150</v>
      </c>
      <c r="K196" s="282">
        <f t="shared" si="2"/>
        <v>0</v>
      </c>
    </row>
    <row r="197" spans="1:11">
      <c r="A197" s="195">
        <v>32118</v>
      </c>
      <c r="B197" s="196" t="s">
        <v>186</v>
      </c>
      <c r="C197" s="214">
        <f>ROUND(VLOOKUP(A197,'Contribution Allocation_Report'!$A$9:$D$314,4,FALSE)*$C$315,0)</f>
        <v>1781621</v>
      </c>
      <c r="D197" s="214">
        <f>ROUND(VLOOKUP(A197,'Contribution Allocation_Report'!$A$9:$D$314,4,FALSE)*$D$315,0)</f>
        <v>2305442</v>
      </c>
      <c r="E197" s="214">
        <f>ROUND(VLOOKUP(A197,'Contribution Allocation_Report'!$A$9:$D$314,4,FALSE)*$E$315,0)</f>
        <v>3650681</v>
      </c>
      <c r="F197" s="192"/>
      <c r="J197" s="59">
        <v>32118</v>
      </c>
      <c r="K197" s="282">
        <f t="shared" si="2"/>
        <v>0</v>
      </c>
    </row>
    <row r="198" spans="1:11">
      <c r="A198" s="193">
        <v>12039</v>
      </c>
      <c r="B198" s="194" t="s">
        <v>187</v>
      </c>
      <c r="C198" s="213">
        <f>ROUND(VLOOKUP(A198,'Contribution Allocation_Report'!$A$9:$D$314,4,FALSE)*$C$315,0)</f>
        <v>1107377</v>
      </c>
      <c r="D198" s="213">
        <f>ROUND(VLOOKUP(A198,'Contribution Allocation_Report'!$A$9:$D$314,4,FALSE)*$D$315,0)</f>
        <v>1432961</v>
      </c>
      <c r="E198" s="213">
        <f>ROUND(VLOOKUP(A198,'Contribution Allocation_Report'!$A$9:$D$314,4,FALSE)*$E$315,0)</f>
        <v>2269102</v>
      </c>
      <c r="F198" s="192"/>
      <c r="J198" s="227">
        <v>12039</v>
      </c>
      <c r="K198" s="282">
        <f t="shared" si="2"/>
        <v>0</v>
      </c>
    </row>
    <row r="199" spans="1:11">
      <c r="A199" s="195">
        <v>12150</v>
      </c>
      <c r="B199" s="196" t="s">
        <v>188</v>
      </c>
      <c r="C199" s="214">
        <f>ROUND(VLOOKUP(A199,'Contribution Allocation_Report'!$A$9:$D$314,4,FALSE)*$C$315,0)</f>
        <v>200457</v>
      </c>
      <c r="D199" s="214">
        <f>ROUND(VLOOKUP(A199,'Contribution Allocation_Report'!$A$9:$D$314,4,FALSE)*$D$315,0)</f>
        <v>259394</v>
      </c>
      <c r="E199" s="214">
        <f>ROUND(VLOOKUP(A199,'Contribution Allocation_Report'!$A$9:$D$314,4,FALSE)*$E$315,0)</f>
        <v>410752</v>
      </c>
      <c r="F199" s="192"/>
      <c r="J199" s="59">
        <v>12150</v>
      </c>
      <c r="K199" s="282">
        <f t="shared" si="2"/>
        <v>0</v>
      </c>
    </row>
    <row r="200" spans="1:11">
      <c r="A200" s="193">
        <v>20060</v>
      </c>
      <c r="B200" s="194" t="s">
        <v>189</v>
      </c>
      <c r="C200" s="213">
        <f>ROUND(VLOOKUP(A200,'Contribution Allocation_Report'!$A$9:$D$314,4,FALSE)*$C$315,0)</f>
        <v>823499</v>
      </c>
      <c r="D200" s="213">
        <f>ROUND(VLOOKUP(A200,'Contribution Allocation_Report'!$A$9:$D$314,4,FALSE)*$D$315,0)</f>
        <v>1065619</v>
      </c>
      <c r="E200" s="213">
        <f>ROUND(VLOOKUP(A200,'Contribution Allocation_Report'!$A$9:$D$314,4,FALSE)*$E$315,0)</f>
        <v>1687414</v>
      </c>
      <c r="F200" s="192"/>
      <c r="J200" s="227">
        <v>20060</v>
      </c>
      <c r="K200" s="282">
        <f t="shared" si="2"/>
        <v>0</v>
      </c>
    </row>
    <row r="201" spans="1:11">
      <c r="A201" s="195">
        <v>1001</v>
      </c>
      <c r="B201" s="196" t="s">
        <v>190</v>
      </c>
      <c r="C201" s="214">
        <f>ROUND(VLOOKUP(A201,'Contribution Allocation_Report'!$A$9:$D$314,4,FALSE)*$C$315,0)</f>
        <v>3145228</v>
      </c>
      <c r="D201" s="214">
        <f>ROUND(VLOOKUP(A201,'Contribution Allocation_Report'!$A$9:$D$314,4,FALSE)*$D$315,0)</f>
        <v>4069968</v>
      </c>
      <c r="E201" s="214">
        <f>ROUND(VLOOKUP(A201,'Contribution Allocation_Report'!$A$9:$D$314,4,FALSE)*$E$315,0)</f>
        <v>6444819</v>
      </c>
      <c r="F201" s="192"/>
      <c r="J201" s="59">
        <v>1001</v>
      </c>
      <c r="K201" s="282">
        <f t="shared" si="2"/>
        <v>0</v>
      </c>
    </row>
    <row r="202" spans="1:11">
      <c r="A202" s="193">
        <v>11035</v>
      </c>
      <c r="B202" s="194" t="s">
        <v>191</v>
      </c>
      <c r="C202" s="213">
        <f>ROUND(VLOOKUP(A202,'Contribution Allocation_Report'!$A$9:$D$314,4,FALSE)*$C$315,0)</f>
        <v>5578036</v>
      </c>
      <c r="D202" s="213">
        <f>ROUND(VLOOKUP(A202,'Contribution Allocation_Report'!$A$9:$D$314,4,FALSE)*$D$315,0)</f>
        <v>7218057</v>
      </c>
      <c r="E202" s="213">
        <f>ROUND(VLOOKUP(A202,'Contribution Allocation_Report'!$A$9:$D$314,4,FALSE)*$E$315,0)</f>
        <v>11429835</v>
      </c>
      <c r="F202" s="192"/>
      <c r="J202" s="227">
        <v>11035</v>
      </c>
      <c r="K202" s="282">
        <f t="shared" si="2"/>
        <v>0</v>
      </c>
    </row>
    <row r="203" spans="1:11">
      <c r="A203" s="195">
        <v>2320</v>
      </c>
      <c r="B203" s="196" t="s">
        <v>192</v>
      </c>
      <c r="C203" s="214">
        <f>ROUND(VLOOKUP(A203,'Contribution Allocation_Report'!$A$9:$D$314,4,FALSE)*$C$315,0)</f>
        <v>655671</v>
      </c>
      <c r="D203" s="214">
        <f>ROUND(VLOOKUP(A203,'Contribution Allocation_Report'!$A$9:$D$314,4,FALSE)*$D$315,0)</f>
        <v>848448</v>
      </c>
      <c r="E203" s="214">
        <f>ROUND(VLOOKUP(A203,'Contribution Allocation_Report'!$A$9:$D$314,4,FALSE)*$E$315,0)</f>
        <v>1343522</v>
      </c>
      <c r="F203" s="192"/>
      <c r="J203" s="59">
        <v>2320</v>
      </c>
      <c r="K203" s="282">
        <f t="shared" si="2"/>
        <v>0</v>
      </c>
    </row>
    <row r="204" spans="1:11">
      <c r="A204" s="193">
        <v>28084</v>
      </c>
      <c r="B204" s="194" t="s">
        <v>193</v>
      </c>
      <c r="C204" s="213">
        <f>ROUND(VLOOKUP(A204,'Contribution Allocation_Report'!$A$9:$D$314,4,FALSE)*$C$315,0)</f>
        <v>551219</v>
      </c>
      <c r="D204" s="213">
        <f>ROUND(VLOOKUP(A204,'Contribution Allocation_Report'!$A$9:$D$314,4,FALSE)*$D$315,0)</f>
        <v>713285</v>
      </c>
      <c r="E204" s="213">
        <f>ROUND(VLOOKUP(A204,'Contribution Allocation_Report'!$A$9:$D$314,4,FALSE)*$E$315,0)</f>
        <v>1129492</v>
      </c>
      <c r="F204" s="192"/>
      <c r="J204" s="227">
        <v>28084</v>
      </c>
      <c r="K204" s="282">
        <f t="shared" ref="K204:K270" si="3">+A204-J204</f>
        <v>0</v>
      </c>
    </row>
    <row r="205" spans="1:11">
      <c r="A205" s="195">
        <v>20125</v>
      </c>
      <c r="B205" s="196" t="s">
        <v>194</v>
      </c>
      <c r="C205" s="214">
        <f>ROUND(VLOOKUP(A205,'Contribution Allocation_Report'!$A$9:$D$314,4,FALSE)*$C$315,0)</f>
        <v>836159</v>
      </c>
      <c r="D205" s="214">
        <f>ROUND(VLOOKUP(A205,'Contribution Allocation_Report'!$A$9:$D$314,4,FALSE)*$D$315,0)</f>
        <v>1082001</v>
      </c>
      <c r="E205" s="214">
        <f>ROUND(VLOOKUP(A205,'Contribution Allocation_Report'!$A$9:$D$314,4,FALSE)*$E$315,0)</f>
        <v>1713355</v>
      </c>
      <c r="F205" s="192"/>
      <c r="J205" s="59">
        <v>20125</v>
      </c>
      <c r="K205" s="282">
        <f t="shared" si="3"/>
        <v>0</v>
      </c>
    </row>
    <row r="206" spans="1:11">
      <c r="A206" s="193">
        <v>7445</v>
      </c>
      <c r="B206" s="194" t="s">
        <v>411</v>
      </c>
      <c r="C206" s="213">
        <f>ROUND(VLOOKUP(A206,'Contribution Allocation_Report'!$A$9:$D$314,4,FALSE)*$C$315,0)</f>
        <v>330630</v>
      </c>
      <c r="D206" s="213">
        <f>ROUND(VLOOKUP(A206,'Contribution Allocation_Report'!$A$9:$D$314,4,FALSE)*$D$315,0)</f>
        <v>427839</v>
      </c>
      <c r="E206" s="213">
        <f>ROUND(VLOOKUP(A206,'Contribution Allocation_Report'!$A$9:$D$314,4,FALSE)*$E$315,0)</f>
        <v>677486</v>
      </c>
      <c r="F206" s="192"/>
      <c r="J206" s="227">
        <v>7445</v>
      </c>
      <c r="K206" s="282">
        <f t="shared" si="3"/>
        <v>0</v>
      </c>
    </row>
    <row r="207" spans="1:11">
      <c r="A207" s="195">
        <v>9029</v>
      </c>
      <c r="B207" s="196" t="s">
        <v>196</v>
      </c>
      <c r="C207" s="214">
        <f>ROUND(VLOOKUP(A207,'Contribution Allocation_Report'!$A$9:$D$314,4,FALSE)*$C$315,0)</f>
        <v>1635269</v>
      </c>
      <c r="D207" s="214">
        <f>ROUND(VLOOKUP(A207,'Contribution Allocation_Report'!$A$9:$D$314,4,FALSE)*$D$315,0)</f>
        <v>2116061</v>
      </c>
      <c r="E207" s="214">
        <f>ROUND(VLOOKUP(A207,'Contribution Allocation_Report'!$A$9:$D$314,4,FALSE)*$E$315,0)</f>
        <v>3350794</v>
      </c>
      <c r="F207" s="192"/>
      <c r="J207" s="59">
        <v>9029</v>
      </c>
      <c r="K207" s="282">
        <f t="shared" si="3"/>
        <v>0</v>
      </c>
    </row>
    <row r="208" spans="1:11">
      <c r="A208" s="193">
        <v>2580</v>
      </c>
      <c r="B208" s="194" t="s">
        <v>197</v>
      </c>
      <c r="C208" s="213">
        <f>ROUND(VLOOKUP(A208,'Contribution Allocation_Report'!$A$9:$D$314,4,FALSE)*$C$315,0)</f>
        <v>196699</v>
      </c>
      <c r="D208" s="213">
        <f>ROUND(VLOOKUP(A208,'Contribution Allocation_Report'!$A$9:$D$314,4,FALSE)*$D$315,0)</f>
        <v>254532</v>
      </c>
      <c r="E208" s="213">
        <f>ROUND(VLOOKUP(A208,'Contribution Allocation_Report'!$A$9:$D$314,4,FALSE)*$E$315,0)</f>
        <v>403052</v>
      </c>
      <c r="F208" s="192"/>
      <c r="J208" s="227">
        <v>2580</v>
      </c>
      <c r="K208" s="282">
        <f t="shared" si="3"/>
        <v>0</v>
      </c>
    </row>
    <row r="209" spans="1:11">
      <c r="A209" s="195">
        <v>20312</v>
      </c>
      <c r="B209" s="196" t="s">
        <v>198</v>
      </c>
      <c r="C209" s="214">
        <f>ROUND(VLOOKUP(A209,'Contribution Allocation_Report'!$A$9:$D$314,4,FALSE)*$C$315,0)</f>
        <v>160539</v>
      </c>
      <c r="D209" s="214">
        <f>ROUND(VLOOKUP(A209,'Contribution Allocation_Report'!$A$9:$D$314,4,FALSE)*$D$315,0)</f>
        <v>207740</v>
      </c>
      <c r="E209" s="214">
        <f>ROUND(VLOOKUP(A209,'Contribution Allocation_Report'!$A$9:$D$314,4,FALSE)*$E$315,0)</f>
        <v>328957</v>
      </c>
      <c r="F209" s="192"/>
      <c r="J209" s="59">
        <v>20312</v>
      </c>
      <c r="K209" s="282">
        <f t="shared" si="3"/>
        <v>0</v>
      </c>
    </row>
    <row r="210" spans="1:11">
      <c r="A210" s="193">
        <v>26150</v>
      </c>
      <c r="B210" s="194" t="s">
        <v>199</v>
      </c>
      <c r="C210" s="213">
        <f>ROUND(VLOOKUP(A210,'Contribution Allocation_Report'!$A$9:$D$314,4,FALSE)*$C$315,0)</f>
        <v>1189866</v>
      </c>
      <c r="D210" s="213">
        <f>ROUND(VLOOKUP(A210,'Contribution Allocation_Report'!$A$9:$D$314,4,FALSE)*$D$315,0)</f>
        <v>1539704</v>
      </c>
      <c r="E210" s="213">
        <f>ROUND(VLOOKUP(A210,'Contribution Allocation_Report'!$A$9:$D$314,4,FALSE)*$E$315,0)</f>
        <v>2438130</v>
      </c>
      <c r="F210" s="192"/>
      <c r="J210" s="227">
        <v>26150</v>
      </c>
      <c r="K210" s="282">
        <f t="shared" si="3"/>
        <v>0</v>
      </c>
    </row>
    <row r="211" spans="1:11">
      <c r="A211" s="195">
        <v>5016</v>
      </c>
      <c r="B211" s="196" t="s">
        <v>200</v>
      </c>
      <c r="C211" s="214">
        <f>ROUND(VLOOKUP(A211,'Contribution Allocation_Report'!$A$9:$D$314,4,FALSE)*$C$315,0)</f>
        <v>172961</v>
      </c>
      <c r="D211" s="214">
        <f>ROUND(VLOOKUP(A211,'Contribution Allocation_Report'!$A$9:$D$314,4,FALSE)*$D$315,0)</f>
        <v>223813</v>
      </c>
      <c r="E211" s="214">
        <f>ROUND(VLOOKUP(A211,'Contribution Allocation_Report'!$A$9:$D$314,4,FALSE)*$E$315,0)</f>
        <v>354410</v>
      </c>
      <c r="F211" s="192"/>
      <c r="J211" s="59">
        <v>5016</v>
      </c>
      <c r="K211" s="282">
        <f t="shared" si="3"/>
        <v>0</v>
      </c>
    </row>
    <row r="212" spans="1:11">
      <c r="A212" s="193">
        <v>6150</v>
      </c>
      <c r="B212" s="194" t="s">
        <v>201</v>
      </c>
      <c r="C212" s="213">
        <f>ROUND(VLOOKUP(A212,'Contribution Allocation_Report'!$A$9:$D$314,4,FALSE)*$C$315,0)</f>
        <v>136540</v>
      </c>
      <c r="D212" s="213">
        <f>ROUND(VLOOKUP(A212,'Contribution Allocation_Report'!$A$9:$D$314,4,FALSE)*$D$315,0)</f>
        <v>176685</v>
      </c>
      <c r="E212" s="213">
        <f>ROUND(VLOOKUP(A212,'Contribution Allocation_Report'!$A$9:$D$314,4,FALSE)*$E$315,0)</f>
        <v>279782</v>
      </c>
      <c r="F212" s="192"/>
      <c r="J212" s="227">
        <v>6150</v>
      </c>
      <c r="K212" s="282">
        <f t="shared" si="3"/>
        <v>0</v>
      </c>
    </row>
    <row r="213" spans="1:11">
      <c r="A213" s="195">
        <v>4480</v>
      </c>
      <c r="B213" s="196" t="s">
        <v>202</v>
      </c>
      <c r="C213" s="214">
        <f>ROUND(VLOOKUP(A213,'Contribution Allocation_Report'!$A$9:$D$314,4,FALSE)*$C$315,0)</f>
        <v>229827</v>
      </c>
      <c r="D213" s="214">
        <f>ROUND(VLOOKUP(A213,'Contribution Allocation_Report'!$A$9:$D$314,4,FALSE)*$D$315,0)</f>
        <v>297400</v>
      </c>
      <c r="E213" s="214">
        <f>ROUND(VLOOKUP(A213,'Contribution Allocation_Report'!$A$9:$D$314,4,FALSE)*$E$315,0)</f>
        <v>470934</v>
      </c>
      <c r="F213" s="192"/>
      <c r="J213" s="59">
        <v>4480</v>
      </c>
      <c r="K213" s="282">
        <f t="shared" si="3"/>
        <v>0</v>
      </c>
    </row>
    <row r="214" spans="1:11">
      <c r="A214" s="193">
        <v>28085</v>
      </c>
      <c r="B214" s="194" t="s">
        <v>203</v>
      </c>
      <c r="C214" s="213">
        <f>ROUND(VLOOKUP(A214,'Contribution Allocation_Report'!$A$9:$D$314,4,FALSE)*$C$315,0)</f>
        <v>429829</v>
      </c>
      <c r="D214" s="213">
        <f>ROUND(VLOOKUP(A214,'Contribution Allocation_Report'!$A$9:$D$314,4,FALSE)*$D$315,0)</f>
        <v>556205</v>
      </c>
      <c r="E214" s="213">
        <f>ROUND(VLOOKUP(A214,'Contribution Allocation_Report'!$A$9:$D$314,4,FALSE)*$E$315,0)</f>
        <v>880754</v>
      </c>
      <c r="F214" s="192"/>
      <c r="J214" s="227">
        <v>28085</v>
      </c>
      <c r="K214" s="282">
        <f t="shared" si="3"/>
        <v>0</v>
      </c>
    </row>
    <row r="215" spans="1:11">
      <c r="A215" s="195">
        <v>3240</v>
      </c>
      <c r="B215" s="196" t="s">
        <v>204</v>
      </c>
      <c r="C215" s="214">
        <f>ROUND(VLOOKUP(A215,'Contribution Allocation_Report'!$A$9:$D$314,4,FALSE)*$C$315,0)</f>
        <v>2497029</v>
      </c>
      <c r="D215" s="214">
        <f>ROUND(VLOOKUP(A215,'Contribution Allocation_Report'!$A$9:$D$314,4,FALSE)*$D$315,0)</f>
        <v>3231190</v>
      </c>
      <c r="E215" s="214">
        <f>ROUND(VLOOKUP(A215,'Contribution Allocation_Report'!$A$9:$D$314,4,FALSE)*$E$315,0)</f>
        <v>5116608</v>
      </c>
      <c r="F215" s="192"/>
      <c r="J215" s="59">
        <v>3240</v>
      </c>
      <c r="K215" s="282">
        <f t="shared" si="3"/>
        <v>0</v>
      </c>
    </row>
    <row r="216" spans="1:11">
      <c r="A216" s="193">
        <v>12326</v>
      </c>
      <c r="B216" s="194" t="s">
        <v>205</v>
      </c>
      <c r="C216" s="213">
        <f>ROUND(VLOOKUP(A216,'Contribution Allocation_Report'!$A$9:$D$314,4,FALSE)*$C$315,0)</f>
        <v>224456</v>
      </c>
      <c r="D216" s="213">
        <f>ROUND(VLOOKUP(A216,'Contribution Allocation_Report'!$A$9:$D$314,4,FALSE)*$D$315,0)</f>
        <v>290449</v>
      </c>
      <c r="E216" s="213">
        <f>ROUND(VLOOKUP(A216,'Contribution Allocation_Report'!$A$9:$D$314,4,FALSE)*$E$315,0)</f>
        <v>459927</v>
      </c>
      <c r="F216" s="192"/>
      <c r="J216" s="227">
        <v>12326</v>
      </c>
      <c r="K216" s="282">
        <f t="shared" si="3"/>
        <v>0</v>
      </c>
    </row>
    <row r="217" spans="1:11">
      <c r="A217" s="195">
        <v>2445</v>
      </c>
      <c r="B217" s="196" t="s">
        <v>446</v>
      </c>
      <c r="C217" s="214">
        <f>ROUND(VLOOKUP(A217,'Contribution Allocation_Report'!$A$9:$D$314,4,FALSE)*$C$315,0)</f>
        <v>208872</v>
      </c>
      <c r="D217" s="214">
        <f>ROUND(VLOOKUP(A217,'Contribution Allocation_Report'!$A$9:$D$314,4,FALSE)*$D$315,0)</f>
        <v>270283</v>
      </c>
      <c r="E217" s="214">
        <f>ROUND(VLOOKUP(A217,'Contribution Allocation_Report'!$A$9:$D$314,4,FALSE)*$E$315,0)</f>
        <v>427995</v>
      </c>
      <c r="F217" s="192"/>
      <c r="J217" s="59">
        <v>2445</v>
      </c>
      <c r="K217" s="282">
        <f t="shared" si="3"/>
        <v>0</v>
      </c>
    </row>
    <row r="218" spans="1:11">
      <c r="A218" s="193">
        <v>29123</v>
      </c>
      <c r="B218" s="194" t="s">
        <v>206</v>
      </c>
      <c r="C218" s="213">
        <f>ROUND(VLOOKUP(A218,'Contribution Allocation_Report'!$A$9:$D$314,4,FALSE)*$C$315,0)</f>
        <v>31450326</v>
      </c>
      <c r="D218" s="213">
        <f>ROUND(VLOOKUP(A218,'Contribution Allocation_Report'!$A$9:$D$314,4,FALSE)*$D$315,0)</f>
        <v>40697162</v>
      </c>
      <c r="E218" s="213">
        <f>ROUND(VLOOKUP(A218,'Contribution Allocation_Report'!$A$9:$D$314,4,FALSE)*$E$315,0)</f>
        <v>64444193</v>
      </c>
      <c r="F218" s="192"/>
      <c r="J218" s="227">
        <v>29123</v>
      </c>
      <c r="K218" s="282">
        <f t="shared" si="3"/>
        <v>0</v>
      </c>
    </row>
    <row r="219" spans="1:11">
      <c r="A219" s="195">
        <v>2318</v>
      </c>
      <c r="B219" s="223" t="s">
        <v>207</v>
      </c>
      <c r="C219" s="238">
        <f>ROUND(VLOOKUP(A219,'Contribution Allocation_Report'!$A$9:$D$314,4,FALSE)*$C$315,0)</f>
        <v>665364</v>
      </c>
      <c r="D219" s="238">
        <f>ROUND(VLOOKUP(A219,'Contribution Allocation_Report'!$A$9:$D$314,4,FALSE)*$D$315,0)</f>
        <v>860990</v>
      </c>
      <c r="E219" s="238">
        <f>ROUND(VLOOKUP(A219,'Contribution Allocation_Report'!$A$9:$D$314,4,FALSE)*$E$315,0)</f>
        <v>1363383</v>
      </c>
      <c r="F219" s="192"/>
      <c r="J219" s="59">
        <v>2318</v>
      </c>
      <c r="K219" s="282">
        <f t="shared" si="3"/>
        <v>0</v>
      </c>
    </row>
    <row r="220" spans="1:11">
      <c r="A220" s="193">
        <v>3250</v>
      </c>
      <c r="B220" s="194" t="s">
        <v>208</v>
      </c>
      <c r="C220" s="213">
        <f>ROUND(VLOOKUP(A220,'Contribution Allocation_Report'!$A$9:$D$314,4,FALSE)*$C$315,0)</f>
        <v>874095</v>
      </c>
      <c r="D220" s="213">
        <f>ROUND(VLOOKUP(A220,'Contribution Allocation_Report'!$A$9:$D$314,4,FALSE)*$D$315,0)</f>
        <v>1131091</v>
      </c>
      <c r="E220" s="213">
        <f>ROUND(VLOOKUP(A220,'Contribution Allocation_Report'!$A$9:$D$314,4,FALSE)*$E$315,0)</f>
        <v>1791089</v>
      </c>
      <c r="F220" s="192"/>
      <c r="J220" s="227">
        <v>3250</v>
      </c>
      <c r="K220" s="282">
        <f t="shared" si="3"/>
        <v>0</v>
      </c>
    </row>
    <row r="221" spans="1:11">
      <c r="A221" s="195">
        <v>2313</v>
      </c>
      <c r="B221" s="196" t="s">
        <v>209</v>
      </c>
      <c r="C221" s="214">
        <f>ROUND(VLOOKUP(A221,'Contribution Allocation_Report'!$A$9:$D$314,4,FALSE)*$C$315,0)</f>
        <v>126025</v>
      </c>
      <c r="D221" s="214">
        <f>ROUND(VLOOKUP(A221,'Contribution Allocation_Report'!$A$9:$D$314,4,FALSE)*$D$315,0)</f>
        <v>163078</v>
      </c>
      <c r="E221" s="214">
        <f>ROUND(VLOOKUP(A221,'Contribution Allocation_Report'!$A$9:$D$314,4,FALSE)*$E$315,0)</f>
        <v>258235</v>
      </c>
      <c r="F221" s="192"/>
      <c r="J221" s="59">
        <v>2313</v>
      </c>
      <c r="K221" s="282">
        <f t="shared" si="3"/>
        <v>0</v>
      </c>
    </row>
    <row r="222" spans="1:11">
      <c r="A222" s="193">
        <v>4011</v>
      </c>
      <c r="B222" s="194" t="s">
        <v>210</v>
      </c>
      <c r="C222" s="213">
        <f>ROUND(VLOOKUP(A222,'Contribution Allocation_Report'!$A$9:$D$314,4,FALSE)*$C$315,0)</f>
        <v>17974376</v>
      </c>
      <c r="D222" s="213">
        <f>ROUND(VLOOKUP(A222,'Contribution Allocation_Report'!$A$9:$D$314,4,FALSE)*$D$315,0)</f>
        <v>23259095</v>
      </c>
      <c r="E222" s="213">
        <f>ROUND(VLOOKUP(A222,'Contribution Allocation_Report'!$A$9:$D$314,4,FALSE)*$E$315,0)</f>
        <v>36830912</v>
      </c>
      <c r="F222" s="192"/>
      <c r="J222" s="227">
        <v>4011</v>
      </c>
      <c r="K222" s="282">
        <f t="shared" si="3"/>
        <v>0</v>
      </c>
    </row>
    <row r="223" spans="1:11">
      <c r="A223" s="195">
        <v>31092</v>
      </c>
      <c r="B223" s="196" t="s">
        <v>211</v>
      </c>
      <c r="C223" s="214">
        <f>ROUND(VLOOKUP(A223,'Contribution Allocation_Report'!$A$9:$D$314,4,FALSE)*$C$315,0)</f>
        <v>279070</v>
      </c>
      <c r="D223" s="214">
        <f>ROUND(VLOOKUP(A223,'Contribution Allocation_Report'!$A$9:$D$314,4,FALSE)*$D$315,0)</f>
        <v>361120</v>
      </c>
      <c r="E223" s="214">
        <f>ROUND(VLOOKUP(A223,'Contribution Allocation_Report'!$A$9:$D$314,4,FALSE)*$E$315,0)</f>
        <v>571836</v>
      </c>
      <c r="F223" s="192"/>
      <c r="J223" s="59">
        <v>31092</v>
      </c>
      <c r="K223" s="282">
        <f t="shared" si="3"/>
        <v>0</v>
      </c>
    </row>
    <row r="224" spans="1:11">
      <c r="A224" s="193">
        <v>26081</v>
      </c>
      <c r="B224" s="194" t="s">
        <v>212</v>
      </c>
      <c r="C224" s="213">
        <f>ROUND(VLOOKUP(A224,'Contribution Allocation_Report'!$A$9:$D$314,4,FALSE)*$C$315,0)</f>
        <v>3297623</v>
      </c>
      <c r="D224" s="213">
        <f>ROUND(VLOOKUP(A224,'Contribution Allocation_Report'!$A$9:$D$314,4,FALSE)*$D$315,0)</f>
        <v>4267170</v>
      </c>
      <c r="E224" s="213">
        <f>ROUND(VLOOKUP(A224,'Contribution Allocation_Report'!$A$9:$D$314,4,FALSE)*$E$315,0)</f>
        <v>6757088</v>
      </c>
      <c r="F224" s="192"/>
      <c r="J224" s="227">
        <v>26081</v>
      </c>
      <c r="K224" s="282">
        <f t="shared" si="3"/>
        <v>0</v>
      </c>
    </row>
    <row r="225" spans="1:11">
      <c r="A225" s="195">
        <v>29305</v>
      </c>
      <c r="B225" s="196" t="s">
        <v>213</v>
      </c>
      <c r="C225" s="214">
        <f>ROUND(VLOOKUP(A225,'Contribution Allocation_Report'!$A$9:$D$314,4,FALSE)*$C$315,0)</f>
        <v>219008</v>
      </c>
      <c r="D225" s="214">
        <f>ROUND(VLOOKUP(A225,'Contribution Allocation_Report'!$A$9:$D$314,4,FALSE)*$D$315,0)</f>
        <v>283400</v>
      </c>
      <c r="E225" s="214">
        <f>ROUND(VLOOKUP(A225,'Contribution Allocation_Report'!$A$9:$D$314,4,FALSE)*$E$315,0)</f>
        <v>448765</v>
      </c>
      <c r="F225" s="192"/>
      <c r="J225" s="59">
        <v>29305</v>
      </c>
      <c r="K225" s="282">
        <f t="shared" si="3"/>
        <v>0</v>
      </c>
    </row>
    <row r="226" spans="1:11">
      <c r="A226" s="193">
        <v>10032</v>
      </c>
      <c r="B226" s="194" t="s">
        <v>214</v>
      </c>
      <c r="C226" s="213">
        <f>ROUND(VLOOKUP(A226,'Contribution Allocation_Report'!$A$9:$D$314,4,FALSE)*$C$315,0)</f>
        <v>407791</v>
      </c>
      <c r="D226" s="213">
        <f>ROUND(VLOOKUP(A226,'Contribution Allocation_Report'!$A$9:$D$314,4,FALSE)*$D$315,0)</f>
        <v>527687</v>
      </c>
      <c r="E226" s="213">
        <f>ROUND(VLOOKUP(A226,'Contribution Allocation_Report'!$A$9:$D$314,4,FALSE)*$E$315,0)</f>
        <v>835596</v>
      </c>
      <c r="F226" s="192"/>
      <c r="J226" s="227">
        <v>10032</v>
      </c>
      <c r="K226" s="282">
        <f t="shared" si="3"/>
        <v>0</v>
      </c>
    </row>
    <row r="227" spans="1:11">
      <c r="A227" s="195">
        <v>32107</v>
      </c>
      <c r="B227" s="210" t="s">
        <v>215</v>
      </c>
      <c r="C227" s="214">
        <f>ROUND(VLOOKUP(A227,'Contribution Allocation_Report'!$A$9:$D$314,4,FALSE)*$C$315,0)</f>
        <v>516142</v>
      </c>
      <c r="D227" s="214">
        <f>ROUND(VLOOKUP(A227,'Contribution Allocation_Report'!$A$9:$D$314,4,FALSE)*$D$315,0)</f>
        <v>667895</v>
      </c>
      <c r="E227" s="214">
        <f>ROUND(VLOOKUP(A227,'Contribution Allocation_Report'!$A$9:$D$314,4,FALSE)*$E$315,0)</f>
        <v>1057615</v>
      </c>
      <c r="F227" s="192"/>
      <c r="J227" s="59">
        <v>32107</v>
      </c>
      <c r="K227" s="282">
        <f t="shared" si="3"/>
        <v>0</v>
      </c>
    </row>
    <row r="228" spans="1:11">
      <c r="A228" s="193">
        <v>3260</v>
      </c>
      <c r="B228" s="194" t="s">
        <v>216</v>
      </c>
      <c r="C228" s="213">
        <f>ROUND(VLOOKUP(A228,'Contribution Allocation_Report'!$A$9:$D$314,4,FALSE)*$C$315,0)</f>
        <v>7230232</v>
      </c>
      <c r="D228" s="213">
        <f>ROUND(VLOOKUP(A228,'Contribution Allocation_Report'!$A$9:$D$314,4,FALSE)*$D$315,0)</f>
        <v>9356021</v>
      </c>
      <c r="E228" s="213">
        <f>ROUND(VLOOKUP(A228,'Contribution Allocation_Report'!$A$9:$D$314,4,FALSE)*$E$315,0)</f>
        <v>14815314</v>
      </c>
      <c r="F228" s="192"/>
      <c r="J228" s="227">
        <v>3260</v>
      </c>
      <c r="K228" s="282">
        <f t="shared" si="3"/>
        <v>0</v>
      </c>
    </row>
    <row r="229" spans="1:11">
      <c r="A229" s="195">
        <v>4390</v>
      </c>
      <c r="B229" s="196" t="s">
        <v>217</v>
      </c>
      <c r="C229" s="214">
        <f>ROUND(VLOOKUP(A229,'Contribution Allocation_Report'!$A$9:$D$314,4,FALSE)*$C$315,0)</f>
        <v>78461</v>
      </c>
      <c r="D229" s="214">
        <f>ROUND(VLOOKUP(A229,'Contribution Allocation_Report'!$A$9:$D$314,4,FALSE)*$D$315,0)</f>
        <v>101530</v>
      </c>
      <c r="E229" s="214">
        <f>ROUND(VLOOKUP(A229,'Contribution Allocation_Report'!$A$9:$D$314,4,FALSE)*$E$315,0)</f>
        <v>160773</v>
      </c>
      <c r="F229" s="192"/>
      <c r="J229" s="59">
        <v>4390</v>
      </c>
      <c r="K229" s="282">
        <f t="shared" si="3"/>
        <v>0</v>
      </c>
    </row>
    <row r="230" spans="1:11">
      <c r="A230" s="193">
        <v>3270</v>
      </c>
      <c r="B230" s="194" t="s">
        <v>218</v>
      </c>
      <c r="C230" s="213">
        <f>ROUND(VLOOKUP(A230,'Contribution Allocation_Report'!$A$9:$D$314,4,FALSE)*$C$315,0)</f>
        <v>1099569</v>
      </c>
      <c r="D230" s="213">
        <f>ROUND(VLOOKUP(A230,'Contribution Allocation_Report'!$A$9:$D$314,4,FALSE)*$D$315,0)</f>
        <v>1422857</v>
      </c>
      <c r="E230" s="213">
        <f>ROUND(VLOOKUP(A230,'Contribution Allocation_Report'!$A$9:$D$314,4,FALSE)*$E$315,0)</f>
        <v>2253102</v>
      </c>
      <c r="F230" s="192"/>
      <c r="J230" s="227">
        <v>3270</v>
      </c>
      <c r="K230" s="282">
        <f t="shared" si="3"/>
        <v>0</v>
      </c>
    </row>
    <row r="231" spans="1:11">
      <c r="A231" s="195">
        <v>29303</v>
      </c>
      <c r="B231" s="196" t="s">
        <v>219</v>
      </c>
      <c r="C231" s="214">
        <f>ROUND(VLOOKUP(A231,'Contribution Allocation_Report'!$A$9:$D$314,4,FALSE)*$C$315,0)</f>
        <v>392933</v>
      </c>
      <c r="D231" s="214">
        <f>ROUND(VLOOKUP(A231,'Contribution Allocation_Report'!$A$9:$D$314,4,FALSE)*$D$315,0)</f>
        <v>508461</v>
      </c>
      <c r="E231" s="214">
        <f>ROUND(VLOOKUP(A231,'Contribution Allocation_Report'!$A$9:$D$314,4,FALSE)*$E$315,0)</f>
        <v>805150</v>
      </c>
      <c r="F231" s="192"/>
      <c r="J231" s="59">
        <v>29303</v>
      </c>
      <c r="K231" s="282">
        <f t="shared" si="3"/>
        <v>0</v>
      </c>
    </row>
    <row r="232" spans="1:11">
      <c r="A232" s="193">
        <v>3280</v>
      </c>
      <c r="B232" s="194" t="s">
        <v>220</v>
      </c>
      <c r="C232" s="213">
        <f>ROUND(VLOOKUP(A232,'Contribution Allocation_Report'!$A$9:$D$314,4,FALSE)*$C$315,0)</f>
        <v>5537707</v>
      </c>
      <c r="D232" s="213">
        <f>ROUND(VLOOKUP(A232,'Contribution Allocation_Report'!$A$9:$D$314,4,FALSE)*$D$315,0)</f>
        <v>7165870</v>
      </c>
      <c r="E232" s="213">
        <f>ROUND(VLOOKUP(A232,'Contribution Allocation_Report'!$A$9:$D$314,4,FALSE)*$E$315,0)</f>
        <v>11347197</v>
      </c>
      <c r="F232" s="192"/>
      <c r="J232" s="227">
        <v>3280</v>
      </c>
      <c r="K232" s="282">
        <f t="shared" si="3"/>
        <v>0</v>
      </c>
    </row>
    <row r="233" spans="1:11">
      <c r="A233" s="195">
        <v>4260</v>
      </c>
      <c r="B233" s="196" t="s">
        <v>221</v>
      </c>
      <c r="C233" s="214">
        <f>ROUND(VLOOKUP(A233,'Contribution Allocation_Report'!$A$9:$D$314,4,FALSE)*$C$315,0)</f>
        <v>429819</v>
      </c>
      <c r="D233" s="214">
        <f>ROUND(VLOOKUP(A233,'Contribution Allocation_Report'!$A$9:$D$314,4,FALSE)*$D$315,0)</f>
        <v>556191</v>
      </c>
      <c r="E233" s="214">
        <f>ROUND(VLOOKUP(A233,'Contribution Allocation_Report'!$A$9:$D$314,4,FALSE)*$E$315,0)</f>
        <v>880732</v>
      </c>
      <c r="F233" s="192"/>
      <c r="J233" s="59">
        <v>4260</v>
      </c>
      <c r="K233" s="282">
        <f t="shared" si="3"/>
        <v>0</v>
      </c>
    </row>
    <row r="234" spans="1:11">
      <c r="A234" s="193">
        <v>1003</v>
      </c>
      <c r="B234" s="194" t="s">
        <v>222</v>
      </c>
      <c r="C234" s="213">
        <f>ROUND(VLOOKUP(A234,'Contribution Allocation_Report'!$A$9:$D$314,4,FALSE)*$C$315,0)</f>
        <v>6153655</v>
      </c>
      <c r="D234" s="213">
        <f>ROUND(VLOOKUP(A234,'Contribution Allocation_Report'!$A$9:$D$314,4,FALSE)*$D$315,0)</f>
        <v>7962915</v>
      </c>
      <c r="E234" s="213">
        <f>ROUND(VLOOKUP(A234,'Contribution Allocation_Report'!$A$9:$D$314,4,FALSE)*$E$315,0)</f>
        <v>12609323</v>
      </c>
      <c r="F234" s="192"/>
      <c r="J234" s="227">
        <v>1003</v>
      </c>
      <c r="K234" s="282">
        <f t="shared" si="3"/>
        <v>0</v>
      </c>
    </row>
    <row r="235" spans="1:11">
      <c r="A235" s="195">
        <v>3290</v>
      </c>
      <c r="B235" s="196" t="s">
        <v>223</v>
      </c>
      <c r="C235" s="214">
        <f>ROUND(VLOOKUP(A235,'Contribution Allocation_Report'!$A$9:$D$314,4,FALSE)*$C$315,0)</f>
        <v>12535101</v>
      </c>
      <c r="D235" s="214">
        <f>ROUND(VLOOKUP(A235,'Contribution Allocation_Report'!$A$9:$D$314,4,FALSE)*$D$315,0)</f>
        <v>16220596</v>
      </c>
      <c r="E235" s="214">
        <f>ROUND(VLOOKUP(A235,'Contribution Allocation_Report'!$A$9:$D$314,4,FALSE)*$E$315,0)</f>
        <v>25685408</v>
      </c>
      <c r="F235" s="192"/>
      <c r="J235" s="59">
        <v>3290</v>
      </c>
      <c r="K235" s="282">
        <f t="shared" si="3"/>
        <v>0</v>
      </c>
    </row>
    <row r="236" spans="1:11">
      <c r="A236" s="193">
        <v>1002</v>
      </c>
      <c r="B236" s="194" t="s">
        <v>224</v>
      </c>
      <c r="C236" s="213">
        <f>ROUND(VLOOKUP(A236,'Contribution Allocation_Report'!$A$9:$D$314,4,FALSE)*$C$315,0)</f>
        <v>22274696</v>
      </c>
      <c r="D236" s="213">
        <f>ROUND(VLOOKUP(A236,'Contribution Allocation_Report'!$A$9:$D$314,4,FALSE)*$D$315,0)</f>
        <v>28823769</v>
      </c>
      <c r="E236" s="213">
        <f>ROUND(VLOOKUP(A236,'Contribution Allocation_Report'!$A$9:$D$314,4,FALSE)*$E$315,0)</f>
        <v>45642606</v>
      </c>
      <c r="F236" s="192"/>
      <c r="J236" s="227">
        <v>1002</v>
      </c>
      <c r="K236" s="282">
        <f t="shared" si="3"/>
        <v>0</v>
      </c>
    </row>
    <row r="237" spans="1:11">
      <c r="A237" s="195">
        <v>4270</v>
      </c>
      <c r="B237" s="196" t="s">
        <v>424</v>
      </c>
      <c r="C237" s="214">
        <f>ROUND(VLOOKUP(A237,'Contribution Allocation_Report'!$A$9:$D$314,4,FALSE)*$C$315,0)</f>
        <v>467062</v>
      </c>
      <c r="D237" s="214">
        <f>ROUND(VLOOKUP(A237,'Contribution Allocation_Report'!$A$9:$D$314,4,FALSE)*$D$315,0)</f>
        <v>604385</v>
      </c>
      <c r="E237" s="214">
        <f>ROUND(VLOOKUP(A237,'Contribution Allocation_Report'!$A$9:$D$314,4,FALSE)*$E$315,0)</f>
        <v>957046</v>
      </c>
      <c r="F237" s="192"/>
      <c r="J237" s="59">
        <v>4270</v>
      </c>
      <c r="K237" s="282">
        <f t="shared" si="3"/>
        <v>0</v>
      </c>
    </row>
    <row r="238" spans="1:11">
      <c r="A238" s="193">
        <v>24072</v>
      </c>
      <c r="B238" s="194" t="s">
        <v>225</v>
      </c>
      <c r="C238" s="213">
        <f>ROUND(VLOOKUP(A238,'Contribution Allocation_Report'!$A$9:$D$314,4,FALSE)*$C$315,0)</f>
        <v>1671786</v>
      </c>
      <c r="D238" s="213">
        <f>ROUND(VLOOKUP(A238,'Contribution Allocation_Report'!$A$9:$D$314,4,FALSE)*$D$315,0)</f>
        <v>2163315</v>
      </c>
      <c r="E238" s="213">
        <f>ROUND(VLOOKUP(A238,'Contribution Allocation_Report'!$A$9:$D$314,4,FALSE)*$E$315,0)</f>
        <v>3425622</v>
      </c>
      <c r="F238" s="192"/>
      <c r="J238" s="227">
        <v>24072</v>
      </c>
      <c r="K238" s="282">
        <f t="shared" si="3"/>
        <v>0</v>
      </c>
    </row>
    <row r="239" spans="1:11">
      <c r="A239" s="195">
        <v>14366</v>
      </c>
      <c r="B239" s="196" t="s">
        <v>226</v>
      </c>
      <c r="C239" s="214">
        <f>ROUND(VLOOKUP(A239,'Contribution Allocation_Report'!$A$9:$D$314,4,FALSE)*$C$315,0)</f>
        <v>1055004</v>
      </c>
      <c r="D239" s="214">
        <f>ROUND(VLOOKUP(A239,'Contribution Allocation_Report'!$A$9:$D$314,4,FALSE)*$D$315,0)</f>
        <v>1365191</v>
      </c>
      <c r="E239" s="214">
        <f>ROUND(VLOOKUP(A239,'Contribution Allocation_Report'!$A$9:$D$314,4,FALSE)*$E$315,0)</f>
        <v>2161787</v>
      </c>
      <c r="F239" s="192"/>
      <c r="J239" s="59">
        <v>14366</v>
      </c>
      <c r="K239" s="282">
        <f t="shared" si="3"/>
        <v>0</v>
      </c>
    </row>
    <row r="240" spans="1:11">
      <c r="A240" s="193">
        <v>4317</v>
      </c>
      <c r="B240" s="194" t="s">
        <v>227</v>
      </c>
      <c r="C240" s="213">
        <f>ROUND(VLOOKUP(A240,'Contribution Allocation_Report'!$A$9:$D$314,4,FALSE)*$C$315,0)</f>
        <v>293798</v>
      </c>
      <c r="D240" s="213">
        <f>ROUND(VLOOKUP(A240,'Contribution Allocation_Report'!$A$9:$D$314,4,FALSE)*$D$315,0)</f>
        <v>380179</v>
      </c>
      <c r="E240" s="213">
        <f>ROUND(VLOOKUP(A240,'Contribution Allocation_Report'!$A$9:$D$314,4,FALSE)*$E$315,0)</f>
        <v>602015</v>
      </c>
      <c r="F240" s="192"/>
      <c r="J240" s="227">
        <v>4317</v>
      </c>
      <c r="K240" s="282">
        <f t="shared" si="3"/>
        <v>0</v>
      </c>
    </row>
    <row r="241" spans="1:11">
      <c r="A241" s="195">
        <v>32120</v>
      </c>
      <c r="B241" s="196" t="s">
        <v>228</v>
      </c>
      <c r="C241" s="214">
        <f>ROUND(VLOOKUP(A241,'Contribution Allocation_Report'!$A$9:$D$314,4,FALSE)*$C$315,0)</f>
        <v>584185</v>
      </c>
      <c r="D241" s="214">
        <f>ROUND(VLOOKUP(A241,'Contribution Allocation_Report'!$A$9:$D$314,4,FALSE)*$D$315,0)</f>
        <v>755943</v>
      </c>
      <c r="E241" s="214">
        <f>ROUND(VLOOKUP(A241,'Contribution Allocation_Report'!$A$9:$D$314,4,FALSE)*$E$315,0)</f>
        <v>1197040</v>
      </c>
      <c r="F241" s="192"/>
      <c r="J241" s="59">
        <v>32120</v>
      </c>
      <c r="K241" s="282">
        <f t="shared" si="3"/>
        <v>0</v>
      </c>
    </row>
    <row r="242" spans="1:11">
      <c r="A242" s="193">
        <v>3300</v>
      </c>
      <c r="B242" s="194" t="s">
        <v>229</v>
      </c>
      <c r="C242" s="213">
        <f>ROUND(VLOOKUP(A242,'Contribution Allocation_Report'!$A$9:$D$314,4,FALSE)*$C$315,0)</f>
        <v>845190</v>
      </c>
      <c r="D242" s="213">
        <f>ROUND(VLOOKUP(A242,'Contribution Allocation_Report'!$A$9:$D$314,4,FALSE)*$D$315,0)</f>
        <v>1093688</v>
      </c>
      <c r="E242" s="213">
        <f>ROUND(VLOOKUP(A242,'Contribution Allocation_Report'!$A$9:$D$314,4,FALSE)*$E$315,0)</f>
        <v>1731862</v>
      </c>
      <c r="F242" s="192"/>
      <c r="J242" s="227">
        <v>3300</v>
      </c>
      <c r="K242" s="282">
        <f t="shared" si="3"/>
        <v>0</v>
      </c>
    </row>
    <row r="243" spans="1:11">
      <c r="A243" s="195">
        <v>8026</v>
      </c>
      <c r="B243" s="196" t="s">
        <v>230</v>
      </c>
      <c r="C243" s="214">
        <f>ROUND(VLOOKUP(A243,'Contribution Allocation_Report'!$A$9:$D$314,4,FALSE)*$C$315,0)</f>
        <v>4524039</v>
      </c>
      <c r="D243" s="214">
        <f>ROUND(VLOOKUP(A243,'Contribution Allocation_Report'!$A$9:$D$314,4,FALSE)*$D$315,0)</f>
        <v>5854170</v>
      </c>
      <c r="E243" s="214">
        <f>ROUND(VLOOKUP(A243,'Contribution Allocation_Report'!$A$9:$D$314,4,FALSE)*$E$315,0)</f>
        <v>9270112</v>
      </c>
      <c r="F243" s="192"/>
      <c r="J243" s="59">
        <v>8026</v>
      </c>
      <c r="K243" s="282">
        <f t="shared" si="3"/>
        <v>0</v>
      </c>
    </row>
    <row r="244" spans="1:11">
      <c r="A244" s="193">
        <v>32119</v>
      </c>
      <c r="B244" s="194" t="s">
        <v>231</v>
      </c>
      <c r="C244" s="213">
        <f>ROUND(VLOOKUP(A244,'Contribution Allocation_Report'!$A$9:$D$314,4,FALSE)*$C$315,0)</f>
        <v>136551</v>
      </c>
      <c r="D244" s="213">
        <f>ROUND(VLOOKUP(A244,'Contribution Allocation_Report'!$A$9:$D$314,4,FALSE)*$D$315,0)</f>
        <v>176699</v>
      </c>
      <c r="E244" s="213">
        <f>ROUND(VLOOKUP(A244,'Contribution Allocation_Report'!$A$9:$D$314,4,FALSE)*$E$315,0)</f>
        <v>279804</v>
      </c>
      <c r="F244" s="192"/>
      <c r="J244" s="227">
        <v>32119</v>
      </c>
      <c r="K244" s="282">
        <f t="shared" si="3"/>
        <v>0</v>
      </c>
    </row>
    <row r="245" spans="1:11">
      <c r="A245" s="195">
        <v>25076</v>
      </c>
      <c r="B245" s="196" t="s">
        <v>232</v>
      </c>
      <c r="C245" s="214">
        <f>ROUND(VLOOKUP(A245,'Contribution Allocation_Report'!$A$9:$D$314,4,FALSE)*$C$315,0)</f>
        <v>2849166</v>
      </c>
      <c r="D245" s="214">
        <f>ROUND(VLOOKUP(A245,'Contribution Allocation_Report'!$A$9:$D$314,4,FALSE)*$D$315,0)</f>
        <v>3686861</v>
      </c>
      <c r="E245" s="214">
        <f>ROUND(VLOOKUP(A245,'Contribution Allocation_Report'!$A$9:$D$314,4,FALSE)*$E$315,0)</f>
        <v>5838166</v>
      </c>
      <c r="F245" s="192"/>
      <c r="J245" s="59">
        <v>25076</v>
      </c>
      <c r="K245" s="282">
        <f t="shared" si="3"/>
        <v>0</v>
      </c>
    </row>
    <row r="246" spans="1:11">
      <c r="A246" s="193">
        <v>2440</v>
      </c>
      <c r="B246" s="194" t="s">
        <v>401</v>
      </c>
      <c r="C246" s="213">
        <f>ROUND(VLOOKUP(A246,'Contribution Allocation_Report'!$A$9:$D$314,4,FALSE)*$C$315,0)</f>
        <v>663664</v>
      </c>
      <c r="D246" s="213">
        <f>ROUND(VLOOKUP(A246,'Contribution Allocation_Report'!$A$9:$D$314,4,FALSE)*$D$315,0)</f>
        <v>858790</v>
      </c>
      <c r="E246" s="213">
        <f>ROUND(VLOOKUP(A246,'Contribution Allocation_Report'!$A$9:$D$314,4,FALSE)*$E$315,0)</f>
        <v>1359899</v>
      </c>
      <c r="F246" s="192"/>
      <c r="J246" s="227">
        <v>2440</v>
      </c>
      <c r="K246" s="282">
        <f t="shared" si="3"/>
        <v>0</v>
      </c>
    </row>
    <row r="247" spans="1:11">
      <c r="A247" s="195">
        <v>2309</v>
      </c>
      <c r="B247" s="196" t="s">
        <v>233</v>
      </c>
      <c r="C247" s="214">
        <f>ROUND(VLOOKUP(A247,'Contribution Allocation_Report'!$A$9:$D$314,4,FALSE)*$C$315,0)</f>
        <v>1260562</v>
      </c>
      <c r="D247" s="214">
        <f>ROUND(VLOOKUP(A247,'Contribution Allocation_Report'!$A$9:$D$314,4,FALSE)*$D$315,0)</f>
        <v>1631185</v>
      </c>
      <c r="E247" s="214">
        <f>ROUND(VLOOKUP(A247,'Contribution Allocation_Report'!$A$9:$D$314,4,FALSE)*$E$315,0)</f>
        <v>2582991</v>
      </c>
      <c r="F247" s="192"/>
      <c r="J247" s="59">
        <v>2309</v>
      </c>
      <c r="K247" s="282">
        <f t="shared" si="3"/>
        <v>0</v>
      </c>
    </row>
    <row r="248" spans="1:11">
      <c r="A248" s="193">
        <v>2396</v>
      </c>
      <c r="B248" s="194" t="s">
        <v>234</v>
      </c>
      <c r="C248" s="213">
        <f>ROUND(VLOOKUP(A248,'Contribution Allocation_Report'!$A$9:$D$314,4,FALSE)*$C$315,0)</f>
        <v>319898</v>
      </c>
      <c r="D248" s="213">
        <f>ROUND(VLOOKUP(A248,'Contribution Allocation_Report'!$A$9:$D$314,4,FALSE)*$D$315,0)</f>
        <v>413952</v>
      </c>
      <c r="E248" s="213">
        <f>ROUND(VLOOKUP(A248,'Contribution Allocation_Report'!$A$9:$D$314,4,FALSE)*$E$315,0)</f>
        <v>655495</v>
      </c>
      <c r="F248" s="192"/>
      <c r="J248" s="227">
        <v>2396</v>
      </c>
      <c r="K248" s="282">
        <f t="shared" si="3"/>
        <v>0</v>
      </c>
    </row>
    <row r="249" spans="1:11">
      <c r="A249" s="195" t="s">
        <v>606</v>
      </c>
      <c r="B249" s="196" t="s">
        <v>484</v>
      </c>
      <c r="C249" s="214">
        <f>ROUND(VLOOKUP(A249,'Contribution Allocation_Report'!$A$9:$D$314,4,FALSE)*$C$315,0)</f>
        <v>2306946</v>
      </c>
      <c r="D249" s="214">
        <f>ROUND(VLOOKUP(A249,'Contribution Allocation_Report'!$A$9:$D$314,4,FALSE)*$D$315,0)</f>
        <v>2985221</v>
      </c>
      <c r="E249" s="214">
        <f>ROUND(VLOOKUP(A249,'Contribution Allocation_Report'!$A$9:$D$314,4,FALSE)*$E$315,0)</f>
        <v>4727115</v>
      </c>
      <c r="F249" s="192"/>
      <c r="J249" s="227"/>
      <c r="K249" s="282"/>
    </row>
    <row r="250" spans="1:11">
      <c r="A250" s="193">
        <v>3380</v>
      </c>
      <c r="B250" s="194" t="s">
        <v>235</v>
      </c>
      <c r="C250" s="213">
        <f>ROUND(VLOOKUP(A250,'Contribution Allocation_Report'!$A$9:$D$314,4,FALSE)*$C$315,0)</f>
        <v>215315</v>
      </c>
      <c r="D250" s="213">
        <f>ROUND(VLOOKUP(A250,'Contribution Allocation_Report'!$A$9:$D$314,4,FALSE)*$D$315,0)</f>
        <v>278621</v>
      </c>
      <c r="E250" s="213">
        <f>ROUND(VLOOKUP(A250,'Contribution Allocation_Report'!$A$9:$D$314,4,FALSE)*$E$315,0)</f>
        <v>441198</v>
      </c>
      <c r="F250" s="192"/>
      <c r="J250" s="59">
        <v>3380</v>
      </c>
      <c r="K250" s="282">
        <f t="shared" si="3"/>
        <v>0</v>
      </c>
    </row>
    <row r="251" spans="1:11">
      <c r="A251" s="195">
        <v>2420</v>
      </c>
      <c r="B251" s="196" t="s">
        <v>236</v>
      </c>
      <c r="C251" s="214">
        <f>ROUND(VLOOKUP(A251,'Contribution Allocation_Report'!$A$9:$D$314,4,FALSE)*$C$315,0)</f>
        <v>366378</v>
      </c>
      <c r="D251" s="214">
        <f>ROUND(VLOOKUP(A251,'Contribution Allocation_Report'!$A$9:$D$314,4,FALSE)*$D$315,0)</f>
        <v>474099</v>
      </c>
      <c r="E251" s="214">
        <f>ROUND(VLOOKUP(A251,'Contribution Allocation_Report'!$A$9:$D$314,4,FALSE)*$E$315,0)</f>
        <v>750738</v>
      </c>
      <c r="F251" s="192"/>
      <c r="J251" s="227">
        <v>2420</v>
      </c>
      <c r="K251" s="282">
        <f t="shared" si="3"/>
        <v>0</v>
      </c>
    </row>
    <row r="252" spans="1:11">
      <c r="A252" s="193">
        <v>2740</v>
      </c>
      <c r="B252" s="194" t="s">
        <v>237</v>
      </c>
      <c r="C252" s="213">
        <f>ROUND(VLOOKUP(A252,'Contribution Allocation_Report'!$A$9:$D$314,4,FALSE)*$C$315,0)</f>
        <v>37936</v>
      </c>
      <c r="D252" s="213">
        <f>ROUND(VLOOKUP(A252,'Contribution Allocation_Report'!$A$9:$D$314,4,FALSE)*$D$315,0)</f>
        <v>49090</v>
      </c>
      <c r="E252" s="213">
        <f>ROUND(VLOOKUP(A252,'Contribution Allocation_Report'!$A$9:$D$314,4,FALSE)*$E$315,0)</f>
        <v>77735</v>
      </c>
      <c r="F252" s="192"/>
      <c r="J252" s="59">
        <v>2740</v>
      </c>
      <c r="K252" s="282">
        <f t="shared" si="3"/>
        <v>0</v>
      </c>
    </row>
    <row r="253" spans="1:11">
      <c r="A253" s="195">
        <v>2346</v>
      </c>
      <c r="B253" s="196" t="s">
        <v>238</v>
      </c>
      <c r="C253" s="214">
        <f>ROUND(VLOOKUP(A253,'Contribution Allocation_Report'!$A$9:$D$314,4,FALSE)*$C$315,0)</f>
        <v>237332</v>
      </c>
      <c r="D253" s="214">
        <f>ROUND(VLOOKUP(A253,'Contribution Allocation_Report'!$A$9:$D$314,4,FALSE)*$D$315,0)</f>
        <v>307111</v>
      </c>
      <c r="E253" s="214">
        <f>ROUND(VLOOKUP(A253,'Contribution Allocation_Report'!$A$9:$D$314,4,FALSE)*$E$315,0)</f>
        <v>486312</v>
      </c>
      <c r="F253" s="192"/>
      <c r="J253" s="227">
        <v>2346</v>
      </c>
      <c r="K253" s="282">
        <f t="shared" si="3"/>
        <v>0</v>
      </c>
    </row>
    <row r="254" spans="1:11">
      <c r="A254" s="193">
        <v>21150</v>
      </c>
      <c r="B254" s="194" t="s">
        <v>239</v>
      </c>
      <c r="C254" s="213">
        <f>ROUND(VLOOKUP(A254,'Contribution Allocation_Report'!$A$9:$D$314,4,FALSE)*$C$315,0)</f>
        <v>1065520</v>
      </c>
      <c r="D254" s="213">
        <f>ROUND(VLOOKUP(A254,'Contribution Allocation_Report'!$A$9:$D$314,4,FALSE)*$D$315,0)</f>
        <v>1378798</v>
      </c>
      <c r="E254" s="213">
        <f>ROUND(VLOOKUP(A254,'Contribution Allocation_Report'!$A$9:$D$314,4,FALSE)*$E$315,0)</f>
        <v>2183334</v>
      </c>
      <c r="F254" s="192"/>
      <c r="J254" s="59">
        <v>21150</v>
      </c>
      <c r="K254" s="282">
        <f t="shared" si="3"/>
        <v>0</v>
      </c>
    </row>
    <row r="255" spans="1:11">
      <c r="A255" s="195">
        <v>32098</v>
      </c>
      <c r="B255" s="196" t="s">
        <v>240</v>
      </c>
      <c r="C255" s="214">
        <f>ROUND(VLOOKUP(A255,'Contribution Allocation_Report'!$A$9:$D$314,4,FALSE)*$C$315,0)</f>
        <v>241653</v>
      </c>
      <c r="D255" s="214">
        <f>ROUND(VLOOKUP(A255,'Contribution Allocation_Report'!$A$9:$D$314,4,FALSE)*$D$315,0)</f>
        <v>312703</v>
      </c>
      <c r="E255" s="214">
        <f>ROUND(VLOOKUP(A255,'Contribution Allocation_Report'!$A$9:$D$314,4,FALSE)*$E$315,0)</f>
        <v>495166</v>
      </c>
      <c r="F255" s="192"/>
      <c r="J255" s="227">
        <v>32098</v>
      </c>
      <c r="K255" s="282">
        <f t="shared" si="3"/>
        <v>0</v>
      </c>
    </row>
    <row r="256" spans="1:11">
      <c r="A256" s="193">
        <v>4520</v>
      </c>
      <c r="B256" s="194" t="s">
        <v>241</v>
      </c>
      <c r="C256" s="213">
        <f>ROUND(VLOOKUP(A256,'Contribution Allocation_Report'!$A$9:$D$314,4,FALSE)*$C$315,0)</f>
        <v>37839</v>
      </c>
      <c r="D256" s="213">
        <f>ROUND(VLOOKUP(A256,'Contribution Allocation_Report'!$A$9:$D$314,4,FALSE)*$D$315,0)</f>
        <v>48964</v>
      </c>
      <c r="E256" s="213">
        <f>ROUND(VLOOKUP(A256,'Contribution Allocation_Report'!$A$9:$D$314,4,FALSE)*$E$315,0)</f>
        <v>77535</v>
      </c>
      <c r="F256" s="192"/>
      <c r="J256" s="59">
        <v>4520</v>
      </c>
      <c r="K256" s="282">
        <f t="shared" si="3"/>
        <v>0</v>
      </c>
    </row>
    <row r="257" spans="1:11">
      <c r="A257" s="195">
        <v>9030</v>
      </c>
      <c r="B257" s="196" t="s">
        <v>242</v>
      </c>
      <c r="C257" s="214">
        <f>ROUND(VLOOKUP(A257,'Contribution Allocation_Report'!$A$9:$D$314,4,FALSE)*$C$315,0)</f>
        <v>365534</v>
      </c>
      <c r="D257" s="214">
        <f>ROUND(VLOOKUP(A257,'Contribution Allocation_Report'!$A$9:$D$314,4,FALSE)*$D$315,0)</f>
        <v>473006</v>
      </c>
      <c r="E257" s="214">
        <f>ROUND(VLOOKUP(A257,'Contribution Allocation_Report'!$A$9:$D$314,4,FALSE)*$E$315,0)</f>
        <v>749007</v>
      </c>
      <c r="F257" s="192"/>
      <c r="J257" s="227">
        <v>9030</v>
      </c>
      <c r="K257" s="282">
        <f t="shared" si="3"/>
        <v>0</v>
      </c>
    </row>
    <row r="258" spans="1:11">
      <c r="A258" s="193">
        <v>20265</v>
      </c>
      <c r="B258" s="194" t="s">
        <v>243</v>
      </c>
      <c r="C258" s="213">
        <f>ROUND(VLOOKUP(A258,'Contribution Allocation_Report'!$A$9:$D$314,4,FALSE)*$C$315,0)</f>
        <v>526452</v>
      </c>
      <c r="D258" s="213">
        <f>ROUND(VLOOKUP(A258,'Contribution Allocation_Report'!$A$9:$D$314,4,FALSE)*$D$315,0)</f>
        <v>681236</v>
      </c>
      <c r="E258" s="213">
        <f>ROUND(VLOOKUP(A258,'Contribution Allocation_Report'!$A$9:$D$314,4,FALSE)*$E$315,0)</f>
        <v>1078741</v>
      </c>
      <c r="F258" s="192"/>
      <c r="J258" s="59">
        <v>20265</v>
      </c>
      <c r="K258" s="282">
        <f t="shared" si="3"/>
        <v>0</v>
      </c>
    </row>
    <row r="259" spans="1:11">
      <c r="A259" s="195">
        <v>20307</v>
      </c>
      <c r="B259" s="196" t="s">
        <v>244</v>
      </c>
      <c r="C259" s="214">
        <f>ROUND(VLOOKUP(A259,'Contribution Allocation_Report'!$A$9:$D$314,4,FALSE)*$C$315,0)</f>
        <v>442533</v>
      </c>
      <c r="D259" s="214">
        <f>ROUND(VLOOKUP(A259,'Contribution Allocation_Report'!$A$9:$D$314,4,FALSE)*$D$315,0)</f>
        <v>572643</v>
      </c>
      <c r="E259" s="214">
        <f>ROUND(VLOOKUP(A259,'Contribution Allocation_Report'!$A$9:$D$314,4,FALSE)*$E$315,0)</f>
        <v>906784</v>
      </c>
      <c r="F259" s="192"/>
      <c r="J259" s="227">
        <v>20307</v>
      </c>
      <c r="K259" s="282">
        <f t="shared" si="3"/>
        <v>0</v>
      </c>
    </row>
    <row r="260" spans="1:11">
      <c r="A260" s="193">
        <v>3320</v>
      </c>
      <c r="B260" s="194" t="s">
        <v>245</v>
      </c>
      <c r="C260" s="213">
        <f>ROUND(VLOOKUP(A260,'Contribution Allocation_Report'!$A$9:$D$314,4,FALSE)*$C$315,0)</f>
        <v>2741194</v>
      </c>
      <c r="D260" s="213">
        <f>ROUND(VLOOKUP(A260,'Contribution Allocation_Report'!$A$9:$D$314,4,FALSE)*$D$315,0)</f>
        <v>3547144</v>
      </c>
      <c r="E260" s="213">
        <f>ROUND(VLOOKUP(A260,'Contribution Allocation_Report'!$A$9:$D$314,4,FALSE)*$E$315,0)</f>
        <v>5616923</v>
      </c>
      <c r="F260" s="192"/>
      <c r="J260" s="59">
        <v>3320</v>
      </c>
      <c r="K260" s="282">
        <f t="shared" si="3"/>
        <v>0</v>
      </c>
    </row>
    <row r="261" spans="1:11">
      <c r="A261" s="195">
        <v>20415</v>
      </c>
      <c r="B261" s="196" t="s">
        <v>246</v>
      </c>
      <c r="C261" s="214">
        <f>ROUND(VLOOKUP(A261,'Contribution Allocation_Report'!$A$9:$D$314,4,FALSE)*$C$315,0)</f>
        <v>325139</v>
      </c>
      <c r="D261" s="214">
        <f>ROUND(VLOOKUP(A261,'Contribution Allocation_Report'!$A$9:$D$314,4,FALSE)*$D$315,0)</f>
        <v>420735</v>
      </c>
      <c r="E261" s="214">
        <f>ROUND(VLOOKUP(A261,'Contribution Allocation_Report'!$A$9:$D$314,4,FALSE)*$E$315,0)</f>
        <v>666236</v>
      </c>
      <c r="F261" s="192"/>
      <c r="J261" s="227">
        <v>20415</v>
      </c>
      <c r="K261" s="282">
        <f t="shared" si="3"/>
        <v>0</v>
      </c>
    </row>
    <row r="262" spans="1:11">
      <c r="A262" s="193">
        <v>20435</v>
      </c>
      <c r="B262" s="194" t="s">
        <v>418</v>
      </c>
      <c r="C262" s="213">
        <f>ROUND(VLOOKUP(A262,'Contribution Allocation_Report'!$A$9:$D$314,4,FALSE)*$C$315,0)</f>
        <v>365241</v>
      </c>
      <c r="D262" s="213">
        <f>ROUND(VLOOKUP(A262,'Contribution Allocation_Report'!$A$9:$D$314,4,FALSE)*$D$315,0)</f>
        <v>472627</v>
      </c>
      <c r="E262" s="213">
        <f>ROUND(VLOOKUP(A262,'Contribution Allocation_Report'!$A$9:$D$314,4,FALSE)*$E$315,0)</f>
        <v>748408</v>
      </c>
      <c r="F262" s="192"/>
      <c r="J262" s="59">
        <v>20435</v>
      </c>
      <c r="K262" s="282">
        <f t="shared" si="3"/>
        <v>0</v>
      </c>
    </row>
    <row r="263" spans="1:11">
      <c r="A263" s="195">
        <v>20062</v>
      </c>
      <c r="B263" s="196" t="s">
        <v>247</v>
      </c>
      <c r="C263" s="214">
        <f>ROUND(VLOOKUP(A263,'Contribution Allocation_Report'!$A$9:$D$314,4,FALSE)*$C$315,0)</f>
        <v>3621321</v>
      </c>
      <c r="D263" s="214">
        <f>ROUND(VLOOKUP(A263,'Contribution Allocation_Report'!$A$9:$D$314,4,FALSE)*$D$315,0)</f>
        <v>4686041</v>
      </c>
      <c r="E263" s="214">
        <f>ROUND(VLOOKUP(A263,'Contribution Allocation_Report'!$A$9:$D$314,4,FALSE)*$E$315,0)</f>
        <v>7420372</v>
      </c>
      <c r="F263" s="192"/>
      <c r="J263" s="227">
        <v>20062</v>
      </c>
      <c r="K263" s="282">
        <f t="shared" si="3"/>
        <v>0</v>
      </c>
    </row>
    <row r="264" spans="1:11">
      <c r="A264" s="193">
        <v>3410</v>
      </c>
      <c r="B264" s="194" t="s">
        <v>486</v>
      </c>
      <c r="C264" s="213">
        <f>ROUND(VLOOKUP(A264,'Contribution Allocation_Report'!$A$9:$D$314,4,FALSE)*$C$315,0)</f>
        <v>47867</v>
      </c>
      <c r="D264" s="213">
        <f>ROUND(VLOOKUP(A264,'Contribution Allocation_Report'!$A$9:$D$314,4,FALSE)*$D$315,0)</f>
        <v>61941</v>
      </c>
      <c r="E264" s="213">
        <f>ROUND(VLOOKUP(A264,'Contribution Allocation_Report'!$A$9:$D$314,4,FALSE)*$E$315,0)</f>
        <v>98084</v>
      </c>
      <c r="F264" s="192"/>
      <c r="J264" s="227"/>
      <c r="K264" s="282"/>
    </row>
    <row r="265" spans="1:11">
      <c r="A265" s="195">
        <v>6020</v>
      </c>
      <c r="B265" s="196" t="s">
        <v>248</v>
      </c>
      <c r="C265" s="214">
        <f>ROUND(VLOOKUP(A265,'Contribution Allocation_Report'!$A$9:$D$314,4,FALSE)*$C$315,0)</f>
        <v>766643</v>
      </c>
      <c r="D265" s="214">
        <f>ROUND(VLOOKUP(A265,'Contribution Allocation_Report'!$A$9:$D$314,4,FALSE)*$D$315,0)</f>
        <v>992047</v>
      </c>
      <c r="E265" s="214">
        <f>ROUND(VLOOKUP(A265,'Contribution Allocation_Report'!$A$9:$D$314,4,FALSE)*$E$315,0)</f>
        <v>1570912</v>
      </c>
      <c r="F265" s="192"/>
      <c r="J265" s="59">
        <v>6020</v>
      </c>
      <c r="K265" s="282">
        <f t="shared" si="3"/>
        <v>0</v>
      </c>
    </row>
    <row r="266" spans="1:11">
      <c r="A266" s="193">
        <v>2394</v>
      </c>
      <c r="B266" s="194" t="s">
        <v>249</v>
      </c>
      <c r="C266" s="213">
        <f>ROUND(VLOOKUP(A266,'Contribution Allocation_Report'!$A$9:$D$314,4,FALSE)*$C$315,0)</f>
        <v>478444</v>
      </c>
      <c r="D266" s="213">
        <f>ROUND(VLOOKUP(A266,'Contribution Allocation_Report'!$A$9:$D$314,4,FALSE)*$D$315,0)</f>
        <v>619113</v>
      </c>
      <c r="E266" s="213">
        <f>ROUND(VLOOKUP(A266,'Contribution Allocation_Report'!$A$9:$D$314,4,FALSE)*$E$315,0)</f>
        <v>980369</v>
      </c>
      <c r="F266" s="192"/>
      <c r="J266" s="227">
        <v>2394</v>
      </c>
      <c r="K266" s="282">
        <f t="shared" si="3"/>
        <v>0</v>
      </c>
    </row>
    <row r="267" spans="1:11">
      <c r="A267" s="195">
        <v>5015</v>
      </c>
      <c r="B267" s="196" t="s">
        <v>250</v>
      </c>
      <c r="C267" s="214">
        <f>ROUND(VLOOKUP(A267,'Contribution Allocation_Report'!$A$9:$D$314,4,FALSE)*$C$315,0)</f>
        <v>1055427</v>
      </c>
      <c r="D267" s="214">
        <f>ROUND(VLOOKUP(A267,'Contribution Allocation_Report'!$A$9:$D$314,4,FALSE)*$D$315,0)</f>
        <v>1365737</v>
      </c>
      <c r="E267" s="214">
        <f>ROUND(VLOOKUP(A267,'Contribution Allocation_Report'!$A$9:$D$314,4,FALSE)*$E$315,0)</f>
        <v>2162653</v>
      </c>
      <c r="F267" s="192"/>
      <c r="J267" s="59">
        <v>5015</v>
      </c>
      <c r="K267" s="282">
        <f t="shared" si="3"/>
        <v>0</v>
      </c>
    </row>
    <row r="268" spans="1:11">
      <c r="A268" s="193">
        <v>29408</v>
      </c>
      <c r="B268" s="194" t="s">
        <v>251</v>
      </c>
      <c r="C268" s="213">
        <f>ROUND(VLOOKUP(A268,'Contribution Allocation_Report'!$A$9:$D$314,4,FALSE)*$C$315,0)</f>
        <v>785790</v>
      </c>
      <c r="D268" s="213">
        <f>ROUND(VLOOKUP(A268,'Contribution Allocation_Report'!$A$9:$D$314,4,FALSE)*$D$315,0)</f>
        <v>1016823</v>
      </c>
      <c r="E268" s="213">
        <f>ROUND(VLOOKUP(A268,'Contribution Allocation_Report'!$A$9:$D$314,4,FALSE)*$E$315,0)</f>
        <v>1610145</v>
      </c>
      <c r="F268" s="192"/>
      <c r="J268" s="227">
        <v>29408</v>
      </c>
      <c r="K268" s="282">
        <f t="shared" si="3"/>
        <v>0</v>
      </c>
    </row>
    <row r="269" spans="1:11">
      <c r="A269" s="195">
        <v>2413</v>
      </c>
      <c r="B269" s="196" t="s">
        <v>252</v>
      </c>
      <c r="C269" s="214">
        <f>ROUND(VLOOKUP(A269,'Contribution Allocation_Report'!$A$9:$D$314,4,FALSE)*$C$315,0)</f>
        <v>139421</v>
      </c>
      <c r="D269" s="214">
        <f>ROUND(VLOOKUP(A269,'Contribution Allocation_Report'!$A$9:$D$314,4,FALSE)*$D$315,0)</f>
        <v>180413</v>
      </c>
      <c r="E269" s="214">
        <f>ROUND(VLOOKUP(A269,'Contribution Allocation_Report'!$A$9:$D$314,4,FALSE)*$E$315,0)</f>
        <v>285685</v>
      </c>
      <c r="F269" s="192"/>
      <c r="J269" s="59">
        <v>2413</v>
      </c>
      <c r="K269" s="282">
        <f t="shared" si="3"/>
        <v>0</v>
      </c>
    </row>
    <row r="270" spans="1:11">
      <c r="A270" s="193">
        <v>1398</v>
      </c>
      <c r="B270" s="194" t="s">
        <v>253</v>
      </c>
      <c r="C270" s="213">
        <f>ROUND(VLOOKUP(A270,'Contribution Allocation_Report'!$A$9:$D$314,4,FALSE)*$C$315,0)</f>
        <v>474556</v>
      </c>
      <c r="D270" s="213">
        <f>ROUND(VLOOKUP(A270,'Contribution Allocation_Report'!$A$9:$D$314,4,FALSE)*$D$315,0)</f>
        <v>614082</v>
      </c>
      <c r="E270" s="213">
        <f>ROUND(VLOOKUP(A270,'Contribution Allocation_Report'!$A$9:$D$314,4,FALSE)*$E$315,0)</f>
        <v>972403</v>
      </c>
      <c r="F270" s="192"/>
      <c r="J270" s="227">
        <v>1398</v>
      </c>
      <c r="K270" s="282">
        <f t="shared" si="3"/>
        <v>0</v>
      </c>
    </row>
    <row r="271" spans="1:11">
      <c r="A271" s="195">
        <v>2366</v>
      </c>
      <c r="B271" s="196" t="s">
        <v>254</v>
      </c>
      <c r="C271" s="214">
        <f>ROUND(VLOOKUP(A271,'Contribution Allocation_Report'!$A$9:$D$314,4,FALSE)*$C$315,0)</f>
        <v>293441</v>
      </c>
      <c r="D271" s="214">
        <f>ROUND(VLOOKUP(A271,'Contribution Allocation_Report'!$A$9:$D$314,4,FALSE)*$D$315,0)</f>
        <v>379716</v>
      </c>
      <c r="E271" s="214">
        <f>ROUND(VLOOKUP(A271,'Contribution Allocation_Report'!$A$9:$D$314,4,FALSE)*$E$315,0)</f>
        <v>601283</v>
      </c>
      <c r="F271" s="192"/>
      <c r="J271" s="59">
        <v>2366</v>
      </c>
      <c r="K271" s="282">
        <f t="shared" ref="K271:K313" si="4">+A271-J271</f>
        <v>0</v>
      </c>
    </row>
    <row r="272" spans="1:11">
      <c r="A272" s="193">
        <v>7421</v>
      </c>
      <c r="B272" s="194" t="s">
        <v>255</v>
      </c>
      <c r="C272" s="213">
        <f>ROUND(VLOOKUP(A272,'Contribution Allocation_Report'!$A$9:$D$314,4,FALSE)*$C$315,0)</f>
        <v>265598</v>
      </c>
      <c r="D272" s="213">
        <f>ROUND(VLOOKUP(A272,'Contribution Allocation_Report'!$A$9:$D$314,4,FALSE)*$D$315,0)</f>
        <v>343687</v>
      </c>
      <c r="E272" s="213">
        <f>ROUND(VLOOKUP(A272,'Contribution Allocation_Report'!$A$9:$D$314,4,FALSE)*$E$315,0)</f>
        <v>544230</v>
      </c>
      <c r="F272" s="192"/>
      <c r="J272" s="227">
        <v>7421</v>
      </c>
      <c r="K272" s="282">
        <f t="shared" si="4"/>
        <v>0</v>
      </c>
    </row>
    <row r="273" spans="1:11">
      <c r="A273" s="195">
        <v>1425</v>
      </c>
      <c r="B273" s="196" t="s">
        <v>445</v>
      </c>
      <c r="C273" s="214">
        <f>ROUND(VLOOKUP(A273,'Contribution Allocation_Report'!$A$9:$D$314,4,FALSE)*$C$315,0)</f>
        <v>443247</v>
      </c>
      <c r="D273" s="214">
        <f>ROUND(VLOOKUP(A273,'Contribution Allocation_Report'!$A$9:$D$314,4,FALSE)*$D$315,0)</f>
        <v>573568</v>
      </c>
      <c r="E273" s="214">
        <f>ROUND(VLOOKUP(A273,'Contribution Allocation_Report'!$A$9:$D$314,4,FALSE)*$E$315,0)</f>
        <v>908249</v>
      </c>
      <c r="F273" s="192"/>
      <c r="J273" s="59">
        <v>1425</v>
      </c>
      <c r="K273" s="282">
        <f t="shared" si="4"/>
        <v>0</v>
      </c>
    </row>
    <row r="274" spans="1:11">
      <c r="A274" s="193">
        <v>2370</v>
      </c>
      <c r="B274" s="194" t="s">
        <v>256</v>
      </c>
      <c r="C274" s="213">
        <f>ROUND(VLOOKUP(A274,'Contribution Allocation_Report'!$A$9:$D$314,4,FALSE)*$C$315,0)</f>
        <v>413011</v>
      </c>
      <c r="D274" s="213">
        <f>ROUND(VLOOKUP(A274,'Contribution Allocation_Report'!$A$9:$D$314,4,FALSE)*$D$315,0)</f>
        <v>534442</v>
      </c>
      <c r="E274" s="213">
        <f>ROUND(VLOOKUP(A274,'Contribution Allocation_Report'!$A$9:$D$314,4,FALSE)*$E$315,0)</f>
        <v>846292</v>
      </c>
      <c r="F274" s="192"/>
      <c r="J274" s="227">
        <v>2370</v>
      </c>
      <c r="K274" s="282">
        <f t="shared" si="4"/>
        <v>0</v>
      </c>
    </row>
    <row r="275" spans="1:11">
      <c r="A275" s="195">
        <v>32094</v>
      </c>
      <c r="B275" s="196" t="s">
        <v>257</v>
      </c>
      <c r="C275" s="214">
        <f>ROUND(VLOOKUP(A275,'Contribution Allocation_Report'!$A$9:$D$314,4,FALSE)*$C$315,0)</f>
        <v>545696</v>
      </c>
      <c r="D275" s="214">
        <f>ROUND(VLOOKUP(A275,'Contribution Allocation_Report'!$A$9:$D$314,4,FALSE)*$D$315,0)</f>
        <v>706138</v>
      </c>
      <c r="E275" s="214">
        <f>ROUND(VLOOKUP(A275,'Contribution Allocation_Report'!$A$9:$D$314,4,FALSE)*$E$315,0)</f>
        <v>1118174</v>
      </c>
      <c r="F275" s="192"/>
      <c r="J275" s="59">
        <v>32094</v>
      </c>
      <c r="K275" s="282">
        <f t="shared" si="4"/>
        <v>0</v>
      </c>
    </row>
    <row r="276" spans="1:11">
      <c r="A276" s="193">
        <v>2790</v>
      </c>
      <c r="B276" s="194" t="s">
        <v>258</v>
      </c>
      <c r="C276" s="213">
        <f>ROUND(VLOOKUP(A276,'Contribution Allocation_Report'!$A$9:$D$314,4,FALSE)*$C$315,0)</f>
        <v>52611</v>
      </c>
      <c r="D276" s="213">
        <f>ROUND(VLOOKUP(A276,'Contribution Allocation_Report'!$A$9:$D$314,4,FALSE)*$D$315,0)</f>
        <v>68079</v>
      </c>
      <c r="E276" s="213">
        <f>ROUND(VLOOKUP(A276,'Contribution Allocation_Report'!$A$9:$D$314,4,FALSE)*$E$315,0)</f>
        <v>107803</v>
      </c>
      <c r="F276" s="192"/>
      <c r="J276" s="227">
        <v>2790</v>
      </c>
      <c r="K276" s="282">
        <f t="shared" si="4"/>
        <v>0</v>
      </c>
    </row>
    <row r="277" spans="1:11">
      <c r="A277" s="195">
        <v>3330</v>
      </c>
      <c r="B277" s="196" t="s">
        <v>259</v>
      </c>
      <c r="C277" s="214">
        <f>ROUND(VLOOKUP(A277,'Contribution Allocation_Report'!$A$9:$D$314,4,FALSE)*$C$315,0)</f>
        <v>1177694</v>
      </c>
      <c r="D277" s="214">
        <f>ROUND(VLOOKUP(A277,'Contribution Allocation_Report'!$A$9:$D$314,4,FALSE)*$D$315,0)</f>
        <v>1523952</v>
      </c>
      <c r="E277" s="214">
        <f>ROUND(VLOOKUP(A277,'Contribution Allocation_Report'!$A$9:$D$314,4,FALSE)*$E$315,0)</f>
        <v>2413187</v>
      </c>
      <c r="F277" s="192"/>
      <c r="J277" s="59">
        <v>3330</v>
      </c>
      <c r="K277" s="282">
        <f t="shared" si="4"/>
        <v>0</v>
      </c>
    </row>
    <row r="278" spans="1:11">
      <c r="A278" s="193">
        <v>2080</v>
      </c>
      <c r="B278" s="194" t="s">
        <v>260</v>
      </c>
      <c r="C278" s="213">
        <f>ROUND(VLOOKUP(A278,'Contribution Allocation_Report'!$A$9:$D$314,4,FALSE)*$C$315,0)</f>
        <v>1425119</v>
      </c>
      <c r="D278" s="213">
        <f>ROUND(VLOOKUP(A278,'Contribution Allocation_Report'!$A$9:$D$314,4,FALSE)*$D$315,0)</f>
        <v>1844124</v>
      </c>
      <c r="E278" s="213">
        <f>ROUND(VLOOKUP(A278,'Contribution Allocation_Report'!$A$9:$D$314,4,FALSE)*$E$315,0)</f>
        <v>2920181</v>
      </c>
      <c r="F278" s="192"/>
      <c r="J278" s="227">
        <v>2080</v>
      </c>
      <c r="K278" s="282">
        <f t="shared" si="4"/>
        <v>0</v>
      </c>
    </row>
    <row r="279" spans="1:11">
      <c r="A279" s="195">
        <v>4290</v>
      </c>
      <c r="B279" s="196" t="s">
        <v>261</v>
      </c>
      <c r="C279" s="214">
        <f>ROUND(VLOOKUP(A279,'Contribution Allocation_Report'!$A$9:$D$314,4,FALSE)*$C$315,0)</f>
        <v>585105</v>
      </c>
      <c r="D279" s="214">
        <f>ROUND(VLOOKUP(A279,'Contribution Allocation_Report'!$A$9:$D$314,4,FALSE)*$D$315,0)</f>
        <v>757134</v>
      </c>
      <c r="E279" s="214">
        <f>ROUND(VLOOKUP(A279,'Contribution Allocation_Report'!$A$9:$D$314,4,FALSE)*$E$315,0)</f>
        <v>1198927</v>
      </c>
      <c r="F279" s="192"/>
      <c r="J279" s="59">
        <v>4290</v>
      </c>
      <c r="K279" s="282">
        <f t="shared" si="4"/>
        <v>0</v>
      </c>
    </row>
    <row r="280" spans="1:11">
      <c r="A280" s="193">
        <v>2270</v>
      </c>
      <c r="B280" s="194" t="s">
        <v>262</v>
      </c>
      <c r="C280" s="213">
        <f>ROUND(VLOOKUP(A280,'Contribution Allocation_Report'!$A$9:$D$314,4,FALSE)*$C$315,0)</f>
        <v>20122</v>
      </c>
      <c r="D280" s="213">
        <f>ROUND(VLOOKUP(A280,'Contribution Allocation_Report'!$A$9:$D$314,4,FALSE)*$D$315,0)</f>
        <v>26038</v>
      </c>
      <c r="E280" s="213">
        <f>ROUND(VLOOKUP(A280,'Contribution Allocation_Report'!$A$9:$D$314,4,FALSE)*$E$315,0)</f>
        <v>41231</v>
      </c>
      <c r="F280" s="192"/>
      <c r="J280" s="227">
        <v>2270</v>
      </c>
      <c r="K280" s="282">
        <f t="shared" si="4"/>
        <v>0</v>
      </c>
    </row>
    <row r="281" spans="1:11">
      <c r="A281" s="195">
        <v>2300</v>
      </c>
      <c r="B281" s="196" t="s">
        <v>263</v>
      </c>
      <c r="C281" s="214">
        <f>ROUND(VLOOKUP(A281,'Contribution Allocation_Report'!$A$9:$D$314,4,FALSE)*$C$315,0)</f>
        <v>224824</v>
      </c>
      <c r="D281" s="214">
        <f>ROUND(VLOOKUP(A281,'Contribution Allocation_Report'!$A$9:$D$314,4,FALSE)*$D$315,0)</f>
        <v>290925</v>
      </c>
      <c r="E281" s="214">
        <f>ROUND(VLOOKUP(A281,'Contribution Allocation_Report'!$A$9:$D$314,4,FALSE)*$E$315,0)</f>
        <v>460682</v>
      </c>
      <c r="F281" s="192"/>
      <c r="J281" s="59">
        <v>2300</v>
      </c>
      <c r="K281" s="282">
        <f t="shared" si="4"/>
        <v>0</v>
      </c>
    </row>
    <row r="282" spans="1:11">
      <c r="A282" s="193">
        <v>2720</v>
      </c>
      <c r="B282" s="194" t="s">
        <v>264</v>
      </c>
      <c r="C282" s="213">
        <f>ROUND(VLOOKUP(A282,'Contribution Allocation_Report'!$A$9:$D$314,4,FALSE)*$C$315,0)</f>
        <v>1776509</v>
      </c>
      <c r="D282" s="213">
        <f>ROUND(VLOOKUP(A282,'Contribution Allocation_Report'!$A$9:$D$314,4,FALSE)*$D$315,0)</f>
        <v>2298828</v>
      </c>
      <c r="E282" s="213">
        <f>ROUND(VLOOKUP(A282,'Contribution Allocation_Report'!$A$9:$D$314,4,FALSE)*$E$315,0)</f>
        <v>3640207</v>
      </c>
      <c r="F282" s="192"/>
      <c r="J282" s="227">
        <v>2720</v>
      </c>
      <c r="K282" s="282">
        <f t="shared" si="4"/>
        <v>0</v>
      </c>
    </row>
    <row r="283" spans="1:11">
      <c r="A283" s="195">
        <v>2750</v>
      </c>
      <c r="B283" s="196" t="s">
        <v>265</v>
      </c>
      <c r="C283" s="214">
        <f>ROUND(VLOOKUP(A283,'Contribution Allocation_Report'!$A$9:$D$314,4,FALSE)*$C$315,0)</f>
        <v>108188</v>
      </c>
      <c r="D283" s="214">
        <f>ROUND(VLOOKUP(A283,'Contribution Allocation_Report'!$A$9:$D$314,4,FALSE)*$D$315,0)</f>
        <v>139997</v>
      </c>
      <c r="E283" s="214">
        <f>ROUND(VLOOKUP(A283,'Contribution Allocation_Report'!$A$9:$D$314,4,FALSE)*$E$315,0)</f>
        <v>221686</v>
      </c>
      <c r="F283" s="192"/>
      <c r="J283" s="59">
        <v>2750</v>
      </c>
      <c r="K283" s="282">
        <f t="shared" si="4"/>
        <v>0</v>
      </c>
    </row>
    <row r="284" spans="1:11">
      <c r="A284" s="193">
        <v>2770</v>
      </c>
      <c r="B284" s="194" t="s">
        <v>266</v>
      </c>
      <c r="C284" s="213">
        <f>ROUND(VLOOKUP(A284,'Contribution Allocation_Report'!$A$9:$D$314,4,FALSE)*$C$315,0)</f>
        <v>1557934</v>
      </c>
      <c r="D284" s="213">
        <f>ROUND(VLOOKUP(A284,'Contribution Allocation_Report'!$A$9:$D$314,4,FALSE)*$D$315,0)</f>
        <v>2015989</v>
      </c>
      <c r="E284" s="213">
        <f>ROUND(VLOOKUP(A284,'Contribution Allocation_Report'!$A$9:$D$314,4,FALSE)*$E$315,0)</f>
        <v>3192330</v>
      </c>
      <c r="F284" s="192"/>
      <c r="J284" s="227">
        <v>2770</v>
      </c>
      <c r="K284" s="282">
        <f t="shared" si="4"/>
        <v>0</v>
      </c>
    </row>
    <row r="285" spans="1:11">
      <c r="A285" s="195">
        <v>32106</v>
      </c>
      <c r="B285" s="196" t="s">
        <v>267</v>
      </c>
      <c r="C285" s="214">
        <f>ROUND(VLOOKUP(A285,'Contribution Allocation_Report'!$A$9:$D$314,4,FALSE)*$C$315,0)</f>
        <v>84082</v>
      </c>
      <c r="D285" s="214">
        <f>ROUND(VLOOKUP(A285,'Contribution Allocation_Report'!$A$9:$D$314,4,FALSE)*$D$315,0)</f>
        <v>108803</v>
      </c>
      <c r="E285" s="214">
        <f>ROUND(VLOOKUP(A285,'Contribution Allocation_Report'!$A$9:$D$314,4,FALSE)*$E$315,0)</f>
        <v>172290</v>
      </c>
      <c r="F285" s="192"/>
      <c r="J285" s="59">
        <v>32106</v>
      </c>
      <c r="K285" s="282">
        <f t="shared" si="4"/>
        <v>0</v>
      </c>
    </row>
    <row r="286" spans="1:11">
      <c r="A286" s="193">
        <v>4180</v>
      </c>
      <c r="B286" s="194" t="s">
        <v>268</v>
      </c>
      <c r="C286" s="213">
        <f>ROUND(VLOOKUP(A286,'Contribution Allocation_Report'!$A$9:$D$314,4,FALSE)*$C$315,0)</f>
        <v>164113</v>
      </c>
      <c r="D286" s="213">
        <f>ROUND(VLOOKUP(A286,'Contribution Allocation_Report'!$A$9:$D$314,4,FALSE)*$D$315,0)</f>
        <v>212364</v>
      </c>
      <c r="E286" s="213">
        <f>ROUND(VLOOKUP(A286,'Contribution Allocation_Report'!$A$9:$D$314,4,FALSE)*$E$315,0)</f>
        <v>336280</v>
      </c>
      <c r="F286" s="192"/>
      <c r="J286" s="227">
        <v>4180</v>
      </c>
      <c r="K286" s="282">
        <f t="shared" si="4"/>
        <v>0</v>
      </c>
    </row>
    <row r="287" spans="1:11">
      <c r="A287" s="195">
        <v>21063</v>
      </c>
      <c r="B287" s="196" t="s">
        <v>269</v>
      </c>
      <c r="C287" s="214">
        <f>ROUND(VLOOKUP(A287,'Contribution Allocation_Report'!$A$9:$D$314,4,FALSE)*$C$315,0)</f>
        <v>2726953</v>
      </c>
      <c r="D287" s="214">
        <f>ROUND(VLOOKUP(A287,'Contribution Allocation_Report'!$A$9:$D$314,4,FALSE)*$D$315,0)</f>
        <v>3528716</v>
      </c>
      <c r="E287" s="214">
        <f>ROUND(VLOOKUP(A287,'Contribution Allocation_Report'!$A$9:$D$314,4,FALSE)*$E$315,0)</f>
        <v>5587742</v>
      </c>
      <c r="F287" s="192"/>
      <c r="J287" s="59">
        <v>21063</v>
      </c>
      <c r="K287" s="282">
        <f t="shared" si="4"/>
        <v>0</v>
      </c>
    </row>
    <row r="288" spans="1:11">
      <c r="A288" s="193">
        <v>10033</v>
      </c>
      <c r="B288" s="194" t="s">
        <v>270</v>
      </c>
      <c r="C288" s="213">
        <f>ROUND(VLOOKUP(A288,'Contribution Allocation_Report'!$A$9:$D$314,4,FALSE)*$C$315,0)</f>
        <v>1707254</v>
      </c>
      <c r="D288" s="213">
        <f>ROUND(VLOOKUP(A288,'Contribution Allocation_Report'!$A$9:$D$314,4,FALSE)*$D$315,0)</f>
        <v>2209210</v>
      </c>
      <c r="E288" s="213">
        <f>ROUND(VLOOKUP(A288,'Contribution Allocation_Report'!$A$9:$D$314,4,FALSE)*$E$315,0)</f>
        <v>3498297</v>
      </c>
      <c r="F288" s="192"/>
      <c r="J288" s="227">
        <v>10033</v>
      </c>
      <c r="K288" s="282">
        <f t="shared" si="4"/>
        <v>0</v>
      </c>
    </row>
    <row r="289" spans="1:11">
      <c r="A289" s="195">
        <v>15049</v>
      </c>
      <c r="B289" s="196" t="s">
        <v>271</v>
      </c>
      <c r="C289" s="214">
        <f>ROUND(VLOOKUP(A289,'Contribution Allocation_Report'!$A$9:$D$314,4,FALSE)*$C$315,0)</f>
        <v>2084083</v>
      </c>
      <c r="D289" s="214">
        <f>ROUND(VLOOKUP(A289,'Contribution Allocation_Report'!$A$9:$D$314,4,FALSE)*$D$315,0)</f>
        <v>2696832</v>
      </c>
      <c r="E289" s="214">
        <f>ROUND(VLOOKUP(A289,'Contribution Allocation_Report'!$A$9:$D$314,4,FALSE)*$E$315,0)</f>
        <v>4270449</v>
      </c>
      <c r="F289" s="192"/>
      <c r="J289" s="59">
        <v>15049</v>
      </c>
      <c r="K289" s="282">
        <f t="shared" si="4"/>
        <v>0</v>
      </c>
    </row>
    <row r="290" spans="1:11">
      <c r="A290" s="193">
        <v>1315</v>
      </c>
      <c r="B290" s="194" t="s">
        <v>272</v>
      </c>
      <c r="C290" s="213">
        <f>ROUND(VLOOKUP(A290,'Contribution Allocation_Report'!$A$9:$D$314,4,FALSE)*$C$315,0)</f>
        <v>1134917</v>
      </c>
      <c r="D290" s="213">
        <f>ROUND(VLOOKUP(A290,'Contribution Allocation_Report'!$A$9:$D$314,4,FALSE)*$D$315,0)</f>
        <v>1468598</v>
      </c>
      <c r="E290" s="213">
        <f>ROUND(VLOOKUP(A290,'Contribution Allocation_Report'!$A$9:$D$314,4,FALSE)*$E$315,0)</f>
        <v>2325533</v>
      </c>
      <c r="F290" s="192"/>
      <c r="J290" s="227">
        <v>1315</v>
      </c>
      <c r="K290" s="282">
        <f t="shared" si="4"/>
        <v>0</v>
      </c>
    </row>
    <row r="291" spans="1:11">
      <c r="A291" s="195">
        <v>3340</v>
      </c>
      <c r="B291" s="196" t="s">
        <v>273</v>
      </c>
      <c r="C291" s="214">
        <f>ROUND(VLOOKUP(A291,'Contribution Allocation_Report'!$A$9:$D$314,4,FALSE)*$C$315,0)</f>
        <v>365794</v>
      </c>
      <c r="D291" s="214">
        <f>ROUND(VLOOKUP(A291,'Contribution Allocation_Report'!$A$9:$D$314,4,FALSE)*$D$315,0)</f>
        <v>473342</v>
      </c>
      <c r="E291" s="214">
        <f>ROUND(VLOOKUP(A291,'Contribution Allocation_Report'!$A$9:$D$314,4,FALSE)*$E$315,0)</f>
        <v>749540</v>
      </c>
      <c r="F291" s="192"/>
      <c r="J291" s="59">
        <v>3340</v>
      </c>
      <c r="K291" s="282">
        <f t="shared" si="4"/>
        <v>0</v>
      </c>
    </row>
    <row r="292" spans="1:11">
      <c r="A292" s="195">
        <v>3350</v>
      </c>
      <c r="B292" s="223" t="s">
        <v>274</v>
      </c>
      <c r="C292" s="238">
        <f>ROUND(VLOOKUP(A292,'Contribution Allocation_Report'!$A$9:$D$314,4,FALSE)*$C$315,0)</f>
        <v>2901701</v>
      </c>
      <c r="D292" s="238">
        <f>ROUND(VLOOKUP(A292,'Contribution Allocation_Report'!$A$9:$D$314,4,FALSE)*$D$315,0)</f>
        <v>3754842</v>
      </c>
      <c r="E292" s="238">
        <f>ROUND(VLOOKUP(A292,'Contribution Allocation_Report'!$A$9:$D$314,4,FALSE)*$E$315,0)</f>
        <v>5945813</v>
      </c>
      <c r="F292" s="192"/>
      <c r="J292" s="227">
        <v>3350</v>
      </c>
      <c r="K292" s="282">
        <f t="shared" si="4"/>
        <v>0</v>
      </c>
    </row>
    <row r="293" spans="1:11">
      <c r="A293" s="193">
        <v>24073</v>
      </c>
      <c r="B293" s="194" t="s">
        <v>275</v>
      </c>
      <c r="C293" s="213">
        <f>ROUND(VLOOKUP(A293,'Contribution Allocation_Report'!$A$9:$D$314,4,FALSE)*$C$315,0)</f>
        <v>336175</v>
      </c>
      <c r="D293" s="213">
        <f>ROUND(VLOOKUP(A293,'Contribution Allocation_Report'!$A$9:$D$314,4,FALSE)*$D$315,0)</f>
        <v>435015</v>
      </c>
      <c r="E293" s="213">
        <f>ROUND(VLOOKUP(A293,'Contribution Allocation_Report'!$A$9:$D$314,4,FALSE)*$E$315,0)</f>
        <v>688848</v>
      </c>
      <c r="F293" s="192"/>
      <c r="J293" s="59">
        <v>24073</v>
      </c>
      <c r="K293" s="282">
        <f t="shared" si="4"/>
        <v>0</v>
      </c>
    </row>
    <row r="294" spans="1:11">
      <c r="A294" s="195">
        <v>2100</v>
      </c>
      <c r="B294" s="196" t="s">
        <v>276</v>
      </c>
      <c r="C294" s="214">
        <f>ROUND(VLOOKUP(A294,'Contribution Allocation_Report'!$A$9:$D$314,4,FALSE)*$C$315,0)</f>
        <v>318815</v>
      </c>
      <c r="D294" s="214">
        <f>ROUND(VLOOKUP(A294,'Contribution Allocation_Report'!$A$9:$D$314,4,FALSE)*$D$315,0)</f>
        <v>412550</v>
      </c>
      <c r="E294" s="214">
        <f>ROUND(VLOOKUP(A294,'Contribution Allocation_Report'!$A$9:$D$314,4,FALSE)*$E$315,0)</f>
        <v>653276</v>
      </c>
      <c r="F294" s="192"/>
      <c r="J294" s="227">
        <v>2100</v>
      </c>
      <c r="K294" s="282">
        <f t="shared" si="4"/>
        <v>0</v>
      </c>
    </row>
    <row r="295" spans="1:11">
      <c r="A295" s="193">
        <v>2130</v>
      </c>
      <c r="B295" s="194" t="s">
        <v>277</v>
      </c>
      <c r="C295" s="213">
        <f>ROUND(VLOOKUP(A295,'Contribution Allocation_Report'!$A$9:$D$314,4,FALSE)*$C$315,0)</f>
        <v>102893</v>
      </c>
      <c r="D295" s="213">
        <f>ROUND(VLOOKUP(A295,'Contribution Allocation_Report'!$A$9:$D$314,4,FALSE)*$D$315,0)</f>
        <v>133145</v>
      </c>
      <c r="E295" s="213">
        <f>ROUND(VLOOKUP(A295,'Contribution Allocation_Report'!$A$9:$D$314,4,FALSE)*$E$315,0)</f>
        <v>210835</v>
      </c>
      <c r="F295" s="192"/>
      <c r="J295" s="59">
        <v>2130</v>
      </c>
      <c r="K295" s="282">
        <f t="shared" si="4"/>
        <v>0</v>
      </c>
    </row>
    <row r="296" spans="1:11">
      <c r="A296" s="195">
        <v>32099</v>
      </c>
      <c r="B296" s="196" t="s">
        <v>278</v>
      </c>
      <c r="C296" s="214">
        <f>ROUND(VLOOKUP(A296,'Contribution Allocation_Report'!$A$9:$D$314,4,FALSE)*$C$315,0)</f>
        <v>129685</v>
      </c>
      <c r="D296" s="214">
        <f>ROUND(VLOOKUP(A296,'Contribution Allocation_Report'!$A$9:$D$314,4,FALSE)*$D$315,0)</f>
        <v>167815</v>
      </c>
      <c r="E296" s="214">
        <f>ROUND(VLOOKUP(A296,'Contribution Allocation_Report'!$A$9:$D$314,4,FALSE)*$E$315,0)</f>
        <v>265735</v>
      </c>
      <c r="F296" s="192"/>
      <c r="J296" s="227">
        <v>32099</v>
      </c>
      <c r="K296" s="282">
        <f t="shared" si="4"/>
        <v>0</v>
      </c>
    </row>
    <row r="297" spans="1:11">
      <c r="A297" s="193">
        <v>32100</v>
      </c>
      <c r="B297" s="194" t="s">
        <v>279</v>
      </c>
      <c r="C297" s="213">
        <f>ROUND(VLOOKUP(A297,'Contribution Allocation_Report'!$A$9:$D$314,4,FALSE)*$C$315,0)</f>
        <v>247837</v>
      </c>
      <c r="D297" s="213">
        <f>ROUND(VLOOKUP(A297,'Contribution Allocation_Report'!$A$9:$D$314,4,FALSE)*$D$315,0)</f>
        <v>320704</v>
      </c>
      <c r="E297" s="213">
        <f>ROUND(VLOOKUP(A297,'Contribution Allocation_Report'!$A$9:$D$314,4,FALSE)*$E$315,0)</f>
        <v>507837</v>
      </c>
      <c r="F297" s="192"/>
      <c r="J297" s="59">
        <v>32100</v>
      </c>
      <c r="K297" s="282">
        <f t="shared" si="4"/>
        <v>0</v>
      </c>
    </row>
    <row r="298" spans="1:11">
      <c r="A298" s="195">
        <v>32101</v>
      </c>
      <c r="B298" s="196" t="s">
        <v>280</v>
      </c>
      <c r="C298" s="214">
        <f>ROUND(VLOOKUP(A298,'Contribution Allocation_Report'!$A$9:$D$314,4,FALSE)*$C$315,0)</f>
        <v>87980</v>
      </c>
      <c r="D298" s="214">
        <f>ROUND(VLOOKUP(A298,'Contribution Allocation_Report'!$A$9:$D$314,4,FALSE)*$D$315,0)</f>
        <v>113848</v>
      </c>
      <c r="E298" s="214">
        <f>ROUND(VLOOKUP(A298,'Contribution Allocation_Report'!$A$9:$D$314,4,FALSE)*$E$315,0)</f>
        <v>180278</v>
      </c>
      <c r="F298" s="192"/>
      <c r="J298" s="227">
        <v>32101</v>
      </c>
      <c r="K298" s="282">
        <f t="shared" si="4"/>
        <v>0</v>
      </c>
    </row>
    <row r="299" spans="1:11">
      <c r="A299" s="193">
        <v>32102</v>
      </c>
      <c r="B299" s="194" t="s">
        <v>281</v>
      </c>
      <c r="C299" s="213">
        <f>ROUND(VLOOKUP(A299,'Contribution Allocation_Report'!$A$9:$D$314,4,FALSE)*$C$315,0)</f>
        <v>143341</v>
      </c>
      <c r="D299" s="213">
        <f>ROUND(VLOOKUP(A299,'Contribution Allocation_Report'!$A$9:$D$314,4,FALSE)*$D$315,0)</f>
        <v>185486</v>
      </c>
      <c r="E299" s="213">
        <f>ROUND(VLOOKUP(A299,'Contribution Allocation_Report'!$A$9:$D$314,4,FALSE)*$E$315,0)</f>
        <v>293718</v>
      </c>
      <c r="F299" s="192"/>
      <c r="J299" s="59">
        <v>32102</v>
      </c>
      <c r="K299" s="282">
        <f t="shared" si="4"/>
        <v>0</v>
      </c>
    </row>
    <row r="300" spans="1:11">
      <c r="A300" s="195">
        <v>2880</v>
      </c>
      <c r="B300" s="196" t="s">
        <v>282</v>
      </c>
      <c r="C300" s="214">
        <f>ROUND(VLOOKUP(A300,'Contribution Allocation_Report'!$A$9:$D$314,4,FALSE)*$C$315,0)</f>
        <v>49632</v>
      </c>
      <c r="D300" s="214">
        <f>ROUND(VLOOKUP(A300,'Contribution Allocation_Report'!$A$9:$D$314,4,FALSE)*$D$315,0)</f>
        <v>64225</v>
      </c>
      <c r="E300" s="214">
        <f>ROUND(VLOOKUP(A300,'Contribution Allocation_Report'!$A$9:$D$314,4,FALSE)*$E$315,0)</f>
        <v>101701</v>
      </c>
      <c r="F300" s="192"/>
      <c r="J300" s="227">
        <v>2880</v>
      </c>
      <c r="K300" s="282">
        <f t="shared" si="4"/>
        <v>0</v>
      </c>
    </row>
    <row r="301" spans="1:11">
      <c r="A301" s="193">
        <v>2490</v>
      </c>
      <c r="B301" s="194" t="s">
        <v>283</v>
      </c>
      <c r="C301" s="213">
        <f>ROUND(VLOOKUP(A301,'Contribution Allocation_Report'!$A$9:$D$314,4,FALSE)*$C$315,0)</f>
        <v>405235</v>
      </c>
      <c r="D301" s="213">
        <f>ROUND(VLOOKUP(A301,'Contribution Allocation_Report'!$A$9:$D$314,4,FALSE)*$D$315,0)</f>
        <v>524380</v>
      </c>
      <c r="E301" s="213">
        <f>ROUND(VLOOKUP(A301,'Contribution Allocation_Report'!$A$9:$D$314,4,FALSE)*$E$315,0)</f>
        <v>830359</v>
      </c>
      <c r="F301" s="192"/>
      <c r="J301" s="59">
        <v>2490</v>
      </c>
      <c r="K301" s="282">
        <f t="shared" si="4"/>
        <v>0</v>
      </c>
    </row>
    <row r="302" spans="1:11">
      <c r="A302" s="195">
        <v>2530</v>
      </c>
      <c r="B302" s="196" t="s">
        <v>284</v>
      </c>
      <c r="C302" s="214">
        <f>ROUND(VLOOKUP(A302,'Contribution Allocation_Report'!$A$9:$D$314,4,FALSE)*$C$315,0)</f>
        <v>76425</v>
      </c>
      <c r="D302" s="214">
        <f>ROUND(VLOOKUP(A302,'Contribution Allocation_Report'!$A$9:$D$314,4,FALSE)*$D$315,0)</f>
        <v>98895</v>
      </c>
      <c r="E302" s="214">
        <f>ROUND(VLOOKUP(A302,'Contribution Allocation_Report'!$A$9:$D$314,4,FALSE)*$E$315,0)</f>
        <v>156601</v>
      </c>
      <c r="F302" s="192"/>
      <c r="J302" s="227">
        <v>2530</v>
      </c>
      <c r="K302" s="282">
        <f t="shared" si="4"/>
        <v>0</v>
      </c>
    </row>
    <row r="303" spans="1:11">
      <c r="A303" s="193">
        <v>2560</v>
      </c>
      <c r="B303" s="194" t="s">
        <v>285</v>
      </c>
      <c r="C303" s="213">
        <f>ROUND(VLOOKUP(A303,'Contribution Allocation_Report'!$A$9:$D$314,4,FALSE)*$C$315,0)</f>
        <v>214698</v>
      </c>
      <c r="D303" s="213">
        <f>ROUND(VLOOKUP(A303,'Contribution Allocation_Report'!$A$9:$D$314,4,FALSE)*$D$315,0)</f>
        <v>277822</v>
      </c>
      <c r="E303" s="213">
        <f>ROUND(VLOOKUP(A303,'Contribution Allocation_Report'!$A$9:$D$314,4,FALSE)*$E$315,0)</f>
        <v>439933</v>
      </c>
      <c r="F303" s="192"/>
      <c r="J303" s="59">
        <v>2560</v>
      </c>
      <c r="K303" s="282">
        <f t="shared" si="4"/>
        <v>0</v>
      </c>
    </row>
    <row r="304" spans="1:11">
      <c r="A304" s="195">
        <v>2610</v>
      </c>
      <c r="B304" s="196" t="s">
        <v>286</v>
      </c>
      <c r="C304" s="214">
        <f>ROUND(VLOOKUP(A304,'Contribution Allocation_Report'!$A$9:$D$314,4,FALSE)*$C$315,0)</f>
        <v>42853</v>
      </c>
      <c r="D304" s="214">
        <f>ROUND(VLOOKUP(A304,'Contribution Allocation_Report'!$A$9:$D$314,4,FALSE)*$D$315,0)</f>
        <v>55452</v>
      </c>
      <c r="E304" s="214">
        <f>ROUND(VLOOKUP(A304,'Contribution Allocation_Report'!$A$9:$D$314,4,FALSE)*$E$315,0)</f>
        <v>87809</v>
      </c>
      <c r="F304" s="192"/>
      <c r="J304" s="227">
        <v>2610</v>
      </c>
      <c r="K304" s="282">
        <f t="shared" si="4"/>
        <v>0</v>
      </c>
    </row>
    <row r="305" spans="1:11">
      <c r="A305" s="193">
        <v>2800</v>
      </c>
      <c r="B305" s="194" t="s">
        <v>287</v>
      </c>
      <c r="C305" s="213">
        <f>ROUND(VLOOKUP(A305,'Contribution Allocation_Report'!$A$9:$D$314,4,FALSE)*$C$315,0)</f>
        <v>128234</v>
      </c>
      <c r="D305" s="213">
        <f>ROUND(VLOOKUP(A305,'Contribution Allocation_Report'!$A$9:$D$314,4,FALSE)*$D$315,0)</f>
        <v>165937</v>
      </c>
      <c r="E305" s="213">
        <f>ROUND(VLOOKUP(A305,'Contribution Allocation_Report'!$A$9:$D$314,4,FALSE)*$E$315,0)</f>
        <v>262762</v>
      </c>
      <c r="F305" s="192"/>
      <c r="J305" s="59">
        <v>2800</v>
      </c>
      <c r="K305" s="282">
        <f t="shared" si="4"/>
        <v>0</v>
      </c>
    </row>
    <row r="306" spans="1:11">
      <c r="A306" s="195">
        <v>20317</v>
      </c>
      <c r="B306" s="196" t="s">
        <v>288</v>
      </c>
      <c r="C306" s="214">
        <f>ROUND(VLOOKUP(A306,'Contribution Allocation_Report'!$A$9:$D$314,4,FALSE)*$C$315,0)</f>
        <v>213518</v>
      </c>
      <c r="D306" s="214">
        <f>ROUND(VLOOKUP(A306,'Contribution Allocation_Report'!$A$9:$D$314,4,FALSE)*$D$315,0)</f>
        <v>276295</v>
      </c>
      <c r="E306" s="214">
        <f>ROUND(VLOOKUP(A306,'Contribution Allocation_Report'!$A$9:$D$314,4,FALSE)*$E$315,0)</f>
        <v>437515</v>
      </c>
      <c r="F306" s="192"/>
      <c r="J306" s="227">
        <v>20317</v>
      </c>
      <c r="K306" s="282">
        <f t="shared" si="4"/>
        <v>0</v>
      </c>
    </row>
    <row r="307" spans="1:11">
      <c r="A307" s="193">
        <v>2442</v>
      </c>
      <c r="B307" s="194" t="s">
        <v>426</v>
      </c>
      <c r="C307" s="213">
        <f>ROUND(VLOOKUP(A307,'Contribution Allocation_Report'!$A$9:$D$314,4,FALSE)*$C$315,0)</f>
        <v>198443</v>
      </c>
      <c r="D307" s="213">
        <f>ROUND(VLOOKUP(A307,'Contribution Allocation_Report'!$A$9:$D$314,4,FALSE)*$D$315,0)</f>
        <v>256788</v>
      </c>
      <c r="E307" s="213">
        <f>ROUND(VLOOKUP(A307,'Contribution Allocation_Report'!$A$9:$D$314,4,FALSE)*$E$315,0)</f>
        <v>406625</v>
      </c>
      <c r="F307" s="192"/>
      <c r="J307" s="59">
        <v>2442</v>
      </c>
      <c r="K307" s="282">
        <f t="shared" si="4"/>
        <v>0</v>
      </c>
    </row>
    <row r="308" spans="1:11">
      <c r="A308" s="195">
        <v>30090</v>
      </c>
      <c r="B308" s="196" t="s">
        <v>289</v>
      </c>
      <c r="C308" s="214">
        <f>ROUND(VLOOKUP(A308,'Contribution Allocation_Report'!$A$9:$D$314,4,FALSE)*$C$315,0)</f>
        <v>385449</v>
      </c>
      <c r="D308" s="214">
        <f>ROUND(VLOOKUP(A308,'Contribution Allocation_Report'!$A$9:$D$314,4,FALSE)*$D$315,0)</f>
        <v>498777</v>
      </c>
      <c r="E308" s="214">
        <f>ROUND(VLOOKUP(A308,'Contribution Allocation_Report'!$A$9:$D$314,4,FALSE)*$E$315,0)</f>
        <v>789816</v>
      </c>
      <c r="F308" s="192"/>
      <c r="J308" s="227">
        <v>30090</v>
      </c>
      <c r="K308" s="282">
        <f t="shared" si="4"/>
        <v>0</v>
      </c>
    </row>
    <row r="309" spans="1:11">
      <c r="A309" s="193">
        <v>29330</v>
      </c>
      <c r="B309" s="194" t="s">
        <v>290</v>
      </c>
      <c r="C309" s="213">
        <f>ROUND(VLOOKUP(A309,'Contribution Allocation_Report'!$A$9:$D$314,4,FALSE)*$C$315,0)</f>
        <v>192985</v>
      </c>
      <c r="D309" s="213">
        <f>ROUND(VLOOKUP(A309,'Contribution Allocation_Report'!$A$9:$D$314,4,FALSE)*$D$315,0)</f>
        <v>249725</v>
      </c>
      <c r="E309" s="213">
        <f>ROUND(VLOOKUP(A309,'Contribution Allocation_Report'!$A$9:$D$314,4,FALSE)*$E$315,0)</f>
        <v>395441</v>
      </c>
      <c r="F309" s="192"/>
      <c r="J309" s="59">
        <v>29330</v>
      </c>
      <c r="K309" s="282">
        <f t="shared" si="4"/>
        <v>0</v>
      </c>
    </row>
    <row r="310" spans="1:11">
      <c r="A310" s="195">
        <v>12038</v>
      </c>
      <c r="B310" s="196" t="s">
        <v>291</v>
      </c>
      <c r="C310" s="214">
        <f>ROUND(VLOOKUP(A310,'Contribution Allocation_Report'!$A$9:$D$314,4,FALSE)*$C$315,0)</f>
        <v>3265134</v>
      </c>
      <c r="D310" s="214">
        <f>ROUND(VLOOKUP(A310,'Contribution Allocation_Report'!$A$9:$D$314,4,FALSE)*$D$315,0)</f>
        <v>4225129</v>
      </c>
      <c r="E310" s="214">
        <f>ROUND(VLOOKUP(A310,'Contribution Allocation_Report'!$A$9:$D$314,4,FALSE)*$E$315,0)</f>
        <v>6690516</v>
      </c>
      <c r="F310" s="192"/>
      <c r="J310" s="227">
        <v>12038</v>
      </c>
      <c r="K310" s="282">
        <f t="shared" si="4"/>
        <v>0</v>
      </c>
    </row>
    <row r="311" spans="1:11">
      <c r="A311" s="193">
        <v>8099</v>
      </c>
      <c r="B311" s="194" t="s">
        <v>292</v>
      </c>
      <c r="C311" s="213">
        <f>ROUND(VLOOKUP(A311,'Contribution Allocation_Report'!$A$9:$D$314,4,FALSE)*$C$315,0)</f>
        <v>5816711</v>
      </c>
      <c r="D311" s="213">
        <f>ROUND(VLOOKUP(A311,'Contribution Allocation_Report'!$A$9:$D$314,4,FALSE)*$D$315,0)</f>
        <v>7526906</v>
      </c>
      <c r="E311" s="213">
        <f>ROUND(VLOOKUP(A311,'Contribution Allocation_Report'!$A$9:$D$314,4,FALSE)*$E$315,0)</f>
        <v>11918899</v>
      </c>
      <c r="F311" s="192"/>
      <c r="J311" s="59">
        <v>8099</v>
      </c>
      <c r="K311" s="282">
        <f t="shared" si="4"/>
        <v>0</v>
      </c>
    </row>
    <row r="312" spans="1:11">
      <c r="A312" s="195">
        <v>2417</v>
      </c>
      <c r="B312" s="196" t="s">
        <v>293</v>
      </c>
      <c r="C312" s="214">
        <f>ROUND(VLOOKUP(A312,'Contribution Allocation_Report'!$A$9:$D$314,4,FALSE)*$C$315,0)</f>
        <v>113484</v>
      </c>
      <c r="D312" s="214">
        <f>ROUND(VLOOKUP(A312,'Contribution Allocation_Report'!$A$9:$D$314,4,FALSE)*$D$315,0)</f>
        <v>146850</v>
      </c>
      <c r="E312" s="214">
        <f>ROUND(VLOOKUP(A312,'Contribution Allocation_Report'!$A$9:$D$314,4,FALSE)*$E$315,0)</f>
        <v>232538</v>
      </c>
      <c r="F312" s="192"/>
      <c r="J312" s="227">
        <v>2417</v>
      </c>
      <c r="K312" s="282">
        <f t="shared" si="4"/>
        <v>0</v>
      </c>
    </row>
    <row r="313" spans="1:11">
      <c r="A313" s="193">
        <v>13142</v>
      </c>
      <c r="B313" s="194" t="s">
        <v>294</v>
      </c>
      <c r="C313" s="188">
        <f>ROUND(VLOOKUP(A313,'Contribution Allocation_Report'!$A$9:$D$314,4,FALSE)*$C$315,0)</f>
        <v>3557004</v>
      </c>
      <c r="D313" s="188">
        <f>ROUND(VLOOKUP(A313,'Contribution Allocation_Report'!$A$9:$D$314,4,FALSE)*$D$315,0)</f>
        <v>4602813</v>
      </c>
      <c r="E313" s="188">
        <f>ROUND(VLOOKUP(A313,'Contribution Allocation_Report'!$A$9:$D$314,4,FALSE)*$E$315,0)</f>
        <v>7288581</v>
      </c>
      <c r="F313" s="192"/>
      <c r="J313" s="59">
        <v>13142</v>
      </c>
      <c r="K313" s="282">
        <f t="shared" si="4"/>
        <v>0</v>
      </c>
    </row>
    <row r="314" spans="1:11">
      <c r="A314" s="3"/>
      <c r="B314" s="1"/>
      <c r="C314" s="4"/>
      <c r="D314" s="5"/>
      <c r="E314" s="1"/>
      <c r="F314" s="192"/>
    </row>
    <row r="315" spans="1:11" ht="15.75" thickBot="1">
      <c r="A315" s="3"/>
      <c r="B315" s="18"/>
      <c r="C315" s="83">
        <v>1379274113</v>
      </c>
      <c r="D315" s="83">
        <v>1784800039</v>
      </c>
      <c r="E315" s="83">
        <v>2826241240</v>
      </c>
      <c r="F315" s="192"/>
      <c r="J315" s="59"/>
      <c r="K315" s="282"/>
    </row>
    <row r="316" spans="1:11" ht="15.75" thickTop="1">
      <c r="A316" s="215"/>
      <c r="B316" s="18"/>
      <c r="C316" s="89"/>
      <c r="D316" s="89"/>
      <c r="E316" s="89"/>
      <c r="F316" s="192"/>
      <c r="J316" s="227"/>
      <c r="K316" s="282"/>
    </row>
    <row r="317" spans="1:11">
      <c r="A317" s="3"/>
      <c r="B317" s="18"/>
      <c r="C317" s="89"/>
      <c r="D317" s="89"/>
      <c r="E317" s="89"/>
      <c r="F317" s="192"/>
      <c r="J317" s="59"/>
      <c r="K317" s="282"/>
    </row>
    <row r="318" spans="1:11">
      <c r="A318" s="215"/>
      <c r="B318" s="215"/>
      <c r="C318" s="33"/>
      <c r="D318" s="33"/>
      <c r="E318" s="33"/>
      <c r="F318" s="192"/>
      <c r="J318" s="227"/>
      <c r="K318" s="282"/>
    </row>
    <row r="319" spans="1:11">
      <c r="A319" s="215"/>
      <c r="B319" s="215"/>
      <c r="C319" s="35"/>
      <c r="D319" s="35"/>
      <c r="E319" s="35"/>
      <c r="F319" s="192"/>
      <c r="J319" s="59"/>
      <c r="K319" s="282"/>
    </row>
    <row r="320" spans="1:11">
      <c r="C320" s="230">
        <f>+SUM(C8:C313)-C315</f>
        <v>0</v>
      </c>
      <c r="D320" s="230">
        <f>+SUM(D8:D313)-D315</f>
        <v>0</v>
      </c>
      <c r="E320" s="230">
        <f>+SUM(E8:E313)-E315</f>
        <v>0</v>
      </c>
      <c r="J320" s="227"/>
      <c r="K320" s="282"/>
    </row>
    <row r="321" spans="10:11">
      <c r="J321" s="59"/>
      <c r="K321" s="282"/>
    </row>
    <row r="322" spans="10:11">
      <c r="J322" s="227"/>
      <c r="K322" s="282"/>
    </row>
    <row r="323" spans="10:11">
      <c r="J323" s="59"/>
      <c r="K323" s="282"/>
    </row>
    <row r="324" spans="10:11">
      <c r="J324" s="59"/>
      <c r="K324" s="282"/>
    </row>
    <row r="326" spans="10:11">
      <c r="K326" s="282">
        <f t="shared" ref="K326" si="5">+A326-J326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29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8" max="4" man="1"/>
    <brk id="291" max="4" man="1"/>
  </rowBreaks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Q330"/>
  <sheetViews>
    <sheetView view="pageBreakPreview" zoomScale="90" zoomScaleNormal="100" zoomScaleSheetLayoutView="90" workbookViewId="0">
      <pane ySplit="5" topLeftCell="A237" activePane="bottomLeft" state="frozen"/>
      <selection activeCell="D567" sqref="D567"/>
      <selection pane="bottomLeft" activeCell="D567" sqref="D567"/>
    </sheetView>
  </sheetViews>
  <sheetFormatPr defaultColWidth="9.42578125" defaultRowHeight="12.75"/>
  <cols>
    <col min="1" max="1" width="12.42578125" style="132" customWidth="1"/>
    <col min="2" max="2" width="64.42578125" style="132" bestFit="1" customWidth="1"/>
    <col min="3" max="7" width="15.42578125" style="183" customWidth="1"/>
    <col min="8" max="8" width="12" style="183" customWidth="1"/>
    <col min="9" max="23" width="12.5703125" style="191" customWidth="1"/>
    <col min="24" max="25" width="10.5703125" style="132" customWidth="1"/>
    <col min="26" max="26" width="10.5703125" style="183" customWidth="1"/>
    <col min="27" max="27" width="11.42578125" style="132" bestFit="1" customWidth="1"/>
    <col min="28" max="29" width="9.42578125" style="132"/>
    <col min="30" max="30" width="11" style="132" bestFit="1" customWidth="1"/>
    <col min="31" max="31" width="9.42578125" style="132"/>
    <col min="32" max="32" width="14.42578125" style="132" customWidth="1"/>
    <col min="33" max="33" width="13.5703125" style="132" bestFit="1" customWidth="1"/>
    <col min="34" max="34" width="9.42578125" style="132"/>
    <col min="35" max="35" width="14.5703125" style="132" customWidth="1"/>
    <col min="36" max="36" width="12.5703125" style="132" bestFit="1" customWidth="1"/>
    <col min="37" max="37" width="12.5703125" style="191" customWidth="1"/>
    <col min="38" max="38" width="9.42578125" style="132"/>
    <col min="39" max="39" width="11.5703125" style="132" bestFit="1" customWidth="1"/>
    <col min="40" max="43" width="10.5703125" style="132" bestFit="1" customWidth="1"/>
    <col min="44" max="16384" width="9.42578125" style="132"/>
  </cols>
  <sheetData>
    <row r="1" spans="1:43">
      <c r="A1" s="132">
        <v>1</v>
      </c>
      <c r="B1" s="132">
        <v>2</v>
      </c>
      <c r="C1" s="191">
        <v>3</v>
      </c>
      <c r="D1" s="191">
        <v>4</v>
      </c>
      <c r="E1" s="191">
        <v>5</v>
      </c>
      <c r="F1" s="191">
        <v>6</v>
      </c>
      <c r="G1" s="191">
        <v>7</v>
      </c>
      <c r="H1" s="191">
        <v>8</v>
      </c>
      <c r="I1" s="191">
        <v>9</v>
      </c>
      <c r="J1" s="191">
        <v>10</v>
      </c>
      <c r="K1" s="191">
        <v>11</v>
      </c>
      <c r="L1" s="191">
        <v>12</v>
      </c>
      <c r="M1" s="191">
        <v>13</v>
      </c>
      <c r="N1" s="191">
        <v>14</v>
      </c>
      <c r="O1" s="191">
        <v>15</v>
      </c>
      <c r="P1" s="191">
        <v>16</v>
      </c>
      <c r="Q1" s="191">
        <v>17</v>
      </c>
      <c r="R1" s="191">
        <v>18</v>
      </c>
      <c r="S1" s="191">
        <v>19</v>
      </c>
      <c r="T1" s="191">
        <v>20</v>
      </c>
      <c r="U1" s="191">
        <v>21</v>
      </c>
      <c r="V1" s="191">
        <v>22</v>
      </c>
      <c r="W1" s="191">
        <v>23</v>
      </c>
      <c r="X1" s="191">
        <v>24</v>
      </c>
      <c r="Y1" s="191">
        <v>25</v>
      </c>
      <c r="Z1" s="191">
        <v>26</v>
      </c>
      <c r="AA1" s="191">
        <v>27</v>
      </c>
      <c r="AB1" s="191">
        <v>28</v>
      </c>
      <c r="AC1" s="191">
        <v>29</v>
      </c>
      <c r="AD1" s="191">
        <v>30</v>
      </c>
      <c r="AE1" s="191">
        <v>31</v>
      </c>
      <c r="AF1" s="191">
        <v>32</v>
      </c>
      <c r="AG1" s="191">
        <v>33</v>
      </c>
    </row>
    <row r="2" spans="1:43">
      <c r="C2" s="438" t="s">
        <v>476</v>
      </c>
      <c r="D2" s="438"/>
      <c r="E2" s="438"/>
      <c r="F2" s="438"/>
      <c r="G2" s="438"/>
      <c r="H2" s="361"/>
      <c r="I2" s="438" t="s">
        <v>444</v>
      </c>
      <c r="J2" s="438"/>
      <c r="K2" s="438"/>
      <c r="L2" s="438"/>
      <c r="M2" s="438"/>
      <c r="N2" s="302"/>
      <c r="O2" s="302"/>
      <c r="P2" s="302"/>
      <c r="Q2" s="302"/>
      <c r="R2" s="302"/>
      <c r="S2" s="183"/>
      <c r="T2" s="438"/>
      <c r="U2" s="438"/>
      <c r="V2" s="438"/>
      <c r="W2" s="183"/>
      <c r="X2" s="438"/>
      <c r="Y2" s="438"/>
      <c r="AA2" s="361"/>
    </row>
    <row r="3" spans="1:43">
      <c r="C3" s="438" t="s">
        <v>313</v>
      </c>
      <c r="D3" s="438"/>
      <c r="E3" s="438"/>
      <c r="F3" s="438"/>
      <c r="G3" s="438"/>
      <c r="H3" s="361"/>
      <c r="I3" s="438" t="s">
        <v>313</v>
      </c>
      <c r="J3" s="438"/>
      <c r="K3" s="438"/>
      <c r="L3" s="438"/>
      <c r="M3" s="438"/>
      <c r="N3" s="302"/>
      <c r="O3" s="302"/>
      <c r="P3" s="302"/>
      <c r="Q3" s="302"/>
      <c r="R3" s="302"/>
      <c r="S3" s="183"/>
      <c r="T3" s="438"/>
      <c r="U3" s="438"/>
      <c r="V3" s="438"/>
      <c r="W3" s="183"/>
      <c r="X3" s="438"/>
      <c r="Y3" s="438"/>
      <c r="AA3" s="361"/>
      <c r="AD3" s="267" t="s">
        <v>477</v>
      </c>
      <c r="AF3" s="437" t="s">
        <v>478</v>
      </c>
      <c r="AG3" s="437"/>
    </row>
    <row r="4" spans="1:43" s="191" customFormat="1">
      <c r="C4" s="273" t="s">
        <v>413</v>
      </c>
      <c r="D4" s="273"/>
      <c r="E4" s="268"/>
      <c r="F4" s="268"/>
      <c r="G4" s="268"/>
      <c r="H4" s="268"/>
      <c r="I4" s="268" t="s">
        <v>412</v>
      </c>
      <c r="J4" s="273" t="s">
        <v>413</v>
      </c>
      <c r="K4" s="268"/>
      <c r="L4" s="268"/>
      <c r="M4" s="268"/>
      <c r="N4" s="268"/>
      <c r="O4" s="268" t="s">
        <v>412</v>
      </c>
      <c r="P4" s="273" t="s">
        <v>413</v>
      </c>
      <c r="Q4" s="268"/>
      <c r="R4" s="268"/>
      <c r="S4" s="183"/>
      <c r="T4" s="268" t="s">
        <v>412</v>
      </c>
      <c r="U4" s="273" t="s">
        <v>413</v>
      </c>
      <c r="V4" s="268"/>
      <c r="W4" s="183"/>
      <c r="X4" s="268" t="s">
        <v>412</v>
      </c>
      <c r="Y4" s="273" t="s">
        <v>413</v>
      </c>
      <c r="Z4" s="183"/>
      <c r="AA4" s="268" t="s">
        <v>412</v>
      </c>
      <c r="AD4" s="267"/>
      <c r="AF4" s="248"/>
      <c r="AG4" s="248"/>
    </row>
    <row r="5" spans="1:43" ht="25.5">
      <c r="A5" s="52" t="s">
        <v>0</v>
      </c>
      <c r="B5" s="53" t="s">
        <v>1</v>
      </c>
      <c r="C5" s="256">
        <v>2026</v>
      </c>
      <c r="D5" s="256">
        <v>2027</v>
      </c>
      <c r="E5" s="256">
        <v>2028</v>
      </c>
      <c r="F5" s="256">
        <v>2029</v>
      </c>
      <c r="G5" s="256">
        <v>2030</v>
      </c>
      <c r="H5" s="226"/>
      <c r="I5" s="256">
        <v>2025</v>
      </c>
      <c r="J5" s="256">
        <v>2026</v>
      </c>
      <c r="K5" s="256">
        <v>2027</v>
      </c>
      <c r="L5" s="256">
        <v>2028</v>
      </c>
      <c r="M5" s="256">
        <v>2029</v>
      </c>
      <c r="N5" s="256"/>
      <c r="O5" s="256">
        <v>2025</v>
      </c>
      <c r="P5" s="256">
        <v>2026</v>
      </c>
      <c r="Q5" s="256">
        <v>2027</v>
      </c>
      <c r="R5" s="256">
        <v>2028</v>
      </c>
      <c r="S5" s="226"/>
      <c r="T5" s="256">
        <v>2025</v>
      </c>
      <c r="U5" s="256">
        <v>2026</v>
      </c>
      <c r="V5" s="256">
        <v>2027</v>
      </c>
      <c r="W5" s="226"/>
      <c r="X5" s="256">
        <v>2025</v>
      </c>
      <c r="Y5" s="256">
        <v>2026</v>
      </c>
      <c r="Z5" s="53"/>
      <c r="AA5" s="256">
        <v>2025</v>
      </c>
      <c r="AD5" s="183">
        <v>2025</v>
      </c>
      <c r="AF5" s="132" t="s">
        <v>362</v>
      </c>
      <c r="AG5" s="132" t="s">
        <v>361</v>
      </c>
      <c r="AM5" s="256">
        <v>2026</v>
      </c>
      <c r="AN5" s="256">
        <v>2027</v>
      </c>
      <c r="AO5" s="256">
        <v>2028</v>
      </c>
      <c r="AP5" s="256">
        <v>2029</v>
      </c>
      <c r="AQ5" s="256">
        <v>2030</v>
      </c>
    </row>
    <row r="6" spans="1:43">
      <c r="A6" s="20"/>
      <c r="B6" s="21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Z6" s="21"/>
    </row>
    <row r="7" spans="1:43">
      <c r="A7" s="20"/>
      <c r="B7" s="21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Z7" s="21"/>
    </row>
    <row r="8" spans="1:43">
      <c r="A8" s="59">
        <v>1341</v>
      </c>
      <c r="B8" s="60" t="s">
        <v>5</v>
      </c>
      <c r="C8" s="85">
        <f>_xlfn.XLOOKUP($A8,'Change in Proportion Calc'!$A$5:$A$311,'Change in Proportion Calc'!L$5:L$311,,0,)</f>
        <v>1575656</v>
      </c>
      <c r="D8" s="85">
        <f>_xlfn.XLOOKUP($A8,'Change in Proportion Calc'!$A$5:$A$311,'Change in Proportion Calc'!M$5:M$311,,0,)</f>
        <v>1575656</v>
      </c>
      <c r="E8" s="85">
        <f>_xlfn.XLOOKUP($A8,'Change in Proportion Calc'!$A$5:$A$311,'Change in Proportion Calc'!N$5:N$311,,0,)</f>
        <v>1575656</v>
      </c>
      <c r="F8" s="85">
        <f>_xlfn.XLOOKUP($A8,'Change in Proportion Calc'!$A$5:$A$311,'Change in Proportion Calc'!O$5:O$311,,0,)</f>
        <v>1575656</v>
      </c>
      <c r="G8" s="85">
        <f>_xlfn.XLOOKUP($A8,'Change in Proportion Calc'!$A$5:$A$311,'Change in Proportion Calc'!P$5:P$311,,0,)</f>
        <v>1465361</v>
      </c>
      <c r="H8" s="228"/>
      <c r="I8" s="85">
        <v>-533161</v>
      </c>
      <c r="J8" s="85">
        <v>-533161</v>
      </c>
      <c r="K8" s="85">
        <v>-533161</v>
      </c>
      <c r="L8" s="85">
        <v>-533161</v>
      </c>
      <c r="M8" s="85">
        <v>-463859</v>
      </c>
      <c r="N8" s="85"/>
      <c r="O8" s="85">
        <v>-1805036</v>
      </c>
      <c r="P8" s="85">
        <v>-1805036</v>
      </c>
      <c r="Q8" s="85">
        <v>-1805036</v>
      </c>
      <c r="R8" s="85">
        <v>-1606455</v>
      </c>
      <c r="S8" s="228"/>
      <c r="T8" s="85">
        <v>775058</v>
      </c>
      <c r="U8" s="85">
        <v>775058</v>
      </c>
      <c r="V8" s="85">
        <v>759603</v>
      </c>
      <c r="W8" s="228"/>
      <c r="X8" s="175">
        <v>-1730430</v>
      </c>
      <c r="Y8" s="141">
        <v>-1695839</v>
      </c>
      <c r="Z8" s="62"/>
      <c r="AA8" s="141">
        <v>612065</v>
      </c>
      <c r="AD8" s="141">
        <f>VLOOKUP(A8,'Change in Proportion Calc'!$A$5:$H$311,8,FALSE)+SUMIF($C$5:$AB$5,2025,C8:AB8)</f>
        <v>-1105848</v>
      </c>
      <c r="AF8" s="140">
        <f>IF(SUM(C8:G8)&gt;0,SUM(C8:G8))+IF(SUM(J8:M8)&gt;0,SUM(J8:M8),0)+IF(SUM(U8:V8)&gt;0,SUM(U8:V8),0)+IF(SUM(Y8)&gt;0,SUM(Y8),0)+IF(SUM(P8:R8)&gt;0,SUM(P8:R8),0)</f>
        <v>9302646</v>
      </c>
      <c r="AG8" s="140">
        <f>+IF(SUM(C8:G8)&lt;0,-SUM(C8:G8),0)+IF(SUM(J8:M8)&lt;0,-SUM(J8:M8),0)+IF(SUM(U8:V8)&lt;0,-SUM(U8:V8),0)+IF(SUM(Y8)&lt;0,-SUM(Y8),0)+IF(SUM(P8:R8)&lt;0,-SUM(P8:R8),0)</f>
        <v>8975708</v>
      </c>
      <c r="AH8" s="244"/>
      <c r="AI8" s="243">
        <f>VLOOKUP(A8,'OPEB Amounts_Report'!$A$10:$G$324,7,FALSE)</f>
        <v>9302646</v>
      </c>
      <c r="AJ8" s="244">
        <f>+AF8-AI8</f>
        <v>0</v>
      </c>
      <c r="AK8" s="244"/>
      <c r="AL8" s="354">
        <f>+A8</f>
        <v>1341</v>
      </c>
      <c r="AM8" s="243">
        <f>+SUMIF($C$5:$AB$5,AM$5,C8:AB8)</f>
        <v>-1683322</v>
      </c>
      <c r="AN8" s="243">
        <f>+SUMIF($C$5:$AB$5,AN$5,C8:AB8)</f>
        <v>-2938</v>
      </c>
      <c r="AO8" s="243">
        <f>+SUMIF($C$5:$AB$5,AO$5,C8:AB8)</f>
        <v>-563960</v>
      </c>
      <c r="AP8" s="243">
        <f>+SUMIF($C$5:$AB$5,AP$5,C8:AB8)</f>
        <v>1111797</v>
      </c>
      <c r="AQ8" s="243">
        <f>+SUMIF($C$5:$AB$5,AQ$5,C8:AB8)</f>
        <v>1465361</v>
      </c>
    </row>
    <row r="9" spans="1:43">
      <c r="A9" s="61">
        <v>2308</v>
      </c>
      <c r="B9" s="62" t="s">
        <v>6</v>
      </c>
      <c r="C9" s="85">
        <f>_xlfn.XLOOKUP($A9,'Change in Proportion Calc'!$A$5:$A$311,'Change in Proportion Calc'!L$5:L$311,,0,)</f>
        <v>2889</v>
      </c>
      <c r="D9" s="85">
        <f>_xlfn.XLOOKUP($A9,'Change in Proportion Calc'!$A$5:$A$311,'Change in Proportion Calc'!M$5:M$311,,0,)</f>
        <v>2889</v>
      </c>
      <c r="E9" s="85">
        <f>_xlfn.XLOOKUP($A9,'Change in Proportion Calc'!$A$5:$A$311,'Change in Proportion Calc'!N$5:N$311,,0,)</f>
        <v>2889</v>
      </c>
      <c r="F9" s="85">
        <f>_xlfn.XLOOKUP($A9,'Change in Proportion Calc'!$A$5:$A$311,'Change in Proportion Calc'!O$5:O$311,,0,)</f>
        <v>2889</v>
      </c>
      <c r="G9" s="85">
        <f>_xlfn.XLOOKUP($A9,'Change in Proportion Calc'!$A$5:$A$311,'Change in Proportion Calc'!P$5:P$311,,0,)</f>
        <v>2688</v>
      </c>
      <c r="H9" s="228"/>
      <c r="I9" s="85">
        <v>509</v>
      </c>
      <c r="J9" s="85">
        <v>509</v>
      </c>
      <c r="K9" s="85">
        <v>509</v>
      </c>
      <c r="L9" s="85">
        <v>509</v>
      </c>
      <c r="M9" s="85">
        <v>445</v>
      </c>
      <c r="N9" s="85"/>
      <c r="O9" s="85">
        <v>56372</v>
      </c>
      <c r="P9" s="85">
        <v>56372</v>
      </c>
      <c r="Q9" s="85">
        <v>56372</v>
      </c>
      <c r="R9" s="85">
        <v>50173</v>
      </c>
      <c r="S9" s="228"/>
      <c r="T9" s="85">
        <v>60256</v>
      </c>
      <c r="U9" s="85">
        <v>60256</v>
      </c>
      <c r="V9" s="85">
        <v>59052</v>
      </c>
      <c r="W9" s="228"/>
      <c r="X9" s="243">
        <v>-5496</v>
      </c>
      <c r="Y9" s="244">
        <v>-5384</v>
      </c>
      <c r="Z9" s="62"/>
      <c r="AA9" s="141">
        <v>25147</v>
      </c>
      <c r="AD9" s="244">
        <f>VLOOKUP(A9,'Change in Proportion Calc'!$A$5:$H$311,8,FALSE)+SUMIF($C$5:$AB$5,2025,C9:AB9)</f>
        <v>139677</v>
      </c>
      <c r="AF9" s="243">
        <f t="shared" ref="AF9:AF72" si="0">IF(SUM(C9:G9)&gt;0,SUM(C9:G9))+IF(SUM(J9:M9)&gt;0,SUM(J9:M9),0)+IF(SUM(U9:V9)&gt;0,SUM(U9:V9),0)+IF(SUM(Y9)&gt;0,SUM(Y9),0)+IF(SUM(P9:R9)&gt;0,SUM(P9:R9),0)</f>
        <v>298441</v>
      </c>
      <c r="AG9" s="243">
        <f t="shared" ref="AG9:AG72" si="1">+IF(SUM(C9:G9)&lt;0,-SUM(C9:G9),0)+IF(SUM(J9:M9)&lt;0,-SUM(J9:M9),0)+IF(SUM(U9:V9)&lt;0,-SUM(U9:V9),0)+IF(SUM(Y9)&lt;0,-SUM(Y9),0)+IF(SUM(P9:R9)&lt;0,-SUM(P9:R9),0)</f>
        <v>5384</v>
      </c>
      <c r="AI9" s="243">
        <f>VLOOKUP(A9,'OPEB Amounts_Report'!$A$10:$G$324,7,FALSE)</f>
        <v>298441</v>
      </c>
      <c r="AJ9" s="244">
        <f t="shared" ref="AJ9:AJ72" si="2">+AF9-AI9</f>
        <v>0</v>
      </c>
      <c r="AK9" s="244"/>
      <c r="AL9" s="354">
        <f t="shared" ref="AL9:AL72" si="3">+A9</f>
        <v>2308</v>
      </c>
      <c r="AM9" s="243">
        <f t="shared" ref="AM9:AM72" si="4">+SUMIF($C$5:$AB$5,AM$5,C9:AB9)</f>
        <v>114642</v>
      </c>
      <c r="AN9" s="243">
        <f t="shared" ref="AN9:AN72" si="5">+SUMIF($C$5:$AB$5,AN$5,C9:AB9)</f>
        <v>118822</v>
      </c>
      <c r="AO9" s="243">
        <f t="shared" ref="AO9:AO72" si="6">+SUMIF($C$5:$AB$5,AO$5,C9:AB9)</f>
        <v>53571</v>
      </c>
      <c r="AP9" s="243">
        <f t="shared" ref="AP9:AP72" si="7">+SUMIF($C$5:$AB$5,AP$5,C9:AB9)</f>
        <v>3334</v>
      </c>
      <c r="AQ9" s="243">
        <f t="shared" ref="AQ9:AQ72" si="8">+SUMIF($C$5:$AB$5,AQ$5,C9:AB9)</f>
        <v>2688</v>
      </c>
    </row>
    <row r="10" spans="1:43">
      <c r="A10" s="59">
        <v>2340</v>
      </c>
      <c r="B10" s="63" t="s">
        <v>7</v>
      </c>
      <c r="C10" s="85">
        <f>_xlfn.XLOOKUP($A10,'Change in Proportion Calc'!$A$5:$A$311,'Change in Proportion Calc'!L$5:L$311,,0,)</f>
        <v>8160</v>
      </c>
      <c r="D10" s="85">
        <f>_xlfn.XLOOKUP($A10,'Change in Proportion Calc'!$A$5:$A$311,'Change in Proportion Calc'!M$5:M$311,,0,)</f>
        <v>8160</v>
      </c>
      <c r="E10" s="85">
        <f>_xlfn.XLOOKUP($A10,'Change in Proportion Calc'!$A$5:$A$311,'Change in Proportion Calc'!N$5:N$311,,0,)</f>
        <v>8160</v>
      </c>
      <c r="F10" s="85">
        <f>_xlfn.XLOOKUP($A10,'Change in Proportion Calc'!$A$5:$A$311,'Change in Proportion Calc'!O$5:O$311,,0,)</f>
        <v>8160</v>
      </c>
      <c r="G10" s="85">
        <f>_xlfn.XLOOKUP($A10,'Change in Proportion Calc'!$A$5:$A$311,'Change in Proportion Calc'!P$5:P$311,,0,)</f>
        <v>7591</v>
      </c>
      <c r="H10" s="228"/>
      <c r="I10" s="85">
        <v>18461</v>
      </c>
      <c r="J10" s="85">
        <v>18461</v>
      </c>
      <c r="K10" s="85">
        <v>18461</v>
      </c>
      <c r="L10" s="85">
        <v>18461</v>
      </c>
      <c r="M10" s="85">
        <v>16059</v>
      </c>
      <c r="N10" s="85"/>
      <c r="O10" s="85">
        <v>-3382</v>
      </c>
      <c r="P10" s="85">
        <v>-3382</v>
      </c>
      <c r="Q10" s="85">
        <v>-3382</v>
      </c>
      <c r="R10" s="85">
        <v>-3011</v>
      </c>
      <c r="S10" s="228"/>
      <c r="T10" s="85">
        <v>8666</v>
      </c>
      <c r="U10" s="85">
        <v>8666</v>
      </c>
      <c r="V10" s="85">
        <v>8492</v>
      </c>
      <c r="W10" s="228"/>
      <c r="X10" s="243">
        <v>-10734</v>
      </c>
      <c r="Y10" s="244">
        <v>-10517</v>
      </c>
      <c r="Z10" s="62"/>
      <c r="AA10" s="141">
        <v>-4469</v>
      </c>
      <c r="AD10" s="244">
        <f>VLOOKUP(A10,'Change in Proportion Calc'!$A$5:$H$311,8,FALSE)+SUMIF($C$5:$AB$5,2025,C10:AB10)</f>
        <v>16702</v>
      </c>
      <c r="AF10" s="243">
        <f t="shared" si="0"/>
        <v>128831</v>
      </c>
      <c r="AG10" s="243">
        <f t="shared" si="1"/>
        <v>20292</v>
      </c>
      <c r="AI10" s="243">
        <f>VLOOKUP(A10,'OPEB Amounts_Report'!$A$10:$G$324,7,FALSE)</f>
        <v>128831</v>
      </c>
      <c r="AJ10" s="244">
        <f t="shared" si="2"/>
        <v>0</v>
      </c>
      <c r="AK10" s="244"/>
      <c r="AL10" s="354">
        <f t="shared" si="3"/>
        <v>2340</v>
      </c>
      <c r="AM10" s="243">
        <f t="shared" si="4"/>
        <v>21388</v>
      </c>
      <c r="AN10" s="243">
        <f t="shared" si="5"/>
        <v>31731</v>
      </c>
      <c r="AO10" s="243">
        <f t="shared" si="6"/>
        <v>23610</v>
      </c>
      <c r="AP10" s="243">
        <f t="shared" si="7"/>
        <v>24219</v>
      </c>
      <c r="AQ10" s="243">
        <f t="shared" si="8"/>
        <v>7591</v>
      </c>
    </row>
    <row r="11" spans="1:43">
      <c r="A11" s="61">
        <v>1301</v>
      </c>
      <c r="B11" s="62" t="s">
        <v>8</v>
      </c>
      <c r="C11" s="85">
        <f>_xlfn.XLOOKUP($A11,'Change in Proportion Calc'!$A$5:$A$311,'Change in Proportion Calc'!L$5:L$311,,0,)</f>
        <v>443</v>
      </c>
      <c r="D11" s="85">
        <f>_xlfn.XLOOKUP($A11,'Change in Proportion Calc'!$A$5:$A$311,'Change in Proportion Calc'!M$5:M$311,,0,)</f>
        <v>443</v>
      </c>
      <c r="E11" s="85">
        <f>_xlfn.XLOOKUP($A11,'Change in Proportion Calc'!$A$5:$A$311,'Change in Proportion Calc'!N$5:N$311,,0,)</f>
        <v>443</v>
      </c>
      <c r="F11" s="85">
        <f>_xlfn.XLOOKUP($A11,'Change in Proportion Calc'!$A$5:$A$311,'Change in Proportion Calc'!O$5:O$311,,0,)</f>
        <v>443</v>
      </c>
      <c r="G11" s="85">
        <f>_xlfn.XLOOKUP($A11,'Change in Proportion Calc'!$A$5:$A$311,'Change in Proportion Calc'!P$5:P$311,,0,)</f>
        <v>411</v>
      </c>
      <c r="H11" s="228"/>
      <c r="I11" s="85">
        <v>27731</v>
      </c>
      <c r="J11" s="85">
        <v>27731</v>
      </c>
      <c r="K11" s="85">
        <v>27731</v>
      </c>
      <c r="L11" s="85">
        <v>27731</v>
      </c>
      <c r="M11" s="85">
        <v>24124</v>
      </c>
      <c r="N11" s="85"/>
      <c r="O11" s="85">
        <v>-6884</v>
      </c>
      <c r="P11" s="85">
        <v>-6884</v>
      </c>
      <c r="Q11" s="85">
        <v>-6884</v>
      </c>
      <c r="R11" s="85">
        <v>-6127</v>
      </c>
      <c r="S11" s="228"/>
      <c r="T11" s="85">
        <v>35635</v>
      </c>
      <c r="U11" s="85">
        <v>35635</v>
      </c>
      <c r="V11" s="85">
        <v>34924</v>
      </c>
      <c r="W11" s="228"/>
      <c r="X11" s="243">
        <v>10991</v>
      </c>
      <c r="Y11" s="244">
        <v>10773</v>
      </c>
      <c r="Z11" s="62"/>
      <c r="AA11" s="141">
        <v>16206</v>
      </c>
      <c r="AD11" s="244">
        <f>VLOOKUP(A11,'Change in Proportion Calc'!$A$5:$H$311,8,FALSE)+SUMIF($C$5:$AB$5,2025,C11:AB11)</f>
        <v>84122</v>
      </c>
      <c r="AF11" s="243">
        <f t="shared" si="0"/>
        <v>190832</v>
      </c>
      <c r="AG11" s="243">
        <f t="shared" si="1"/>
        <v>19895</v>
      </c>
      <c r="AI11" s="243">
        <f>VLOOKUP(A11,'OPEB Amounts_Report'!$A$10:$G$324,7,FALSE)</f>
        <v>190832</v>
      </c>
      <c r="AJ11" s="244">
        <f t="shared" si="2"/>
        <v>0</v>
      </c>
      <c r="AK11" s="244"/>
      <c r="AL11" s="354">
        <f t="shared" si="3"/>
        <v>1301</v>
      </c>
      <c r="AM11" s="243">
        <f t="shared" si="4"/>
        <v>67698</v>
      </c>
      <c r="AN11" s="243">
        <f t="shared" si="5"/>
        <v>56214</v>
      </c>
      <c r="AO11" s="243">
        <f t="shared" si="6"/>
        <v>22047</v>
      </c>
      <c r="AP11" s="243">
        <f t="shared" si="7"/>
        <v>24567</v>
      </c>
      <c r="AQ11" s="243">
        <f t="shared" si="8"/>
        <v>411</v>
      </c>
    </row>
    <row r="12" spans="1:43">
      <c r="A12" s="59">
        <v>2390</v>
      </c>
      <c r="B12" s="63" t="s">
        <v>9</v>
      </c>
      <c r="C12" s="85">
        <f>_xlfn.XLOOKUP($A12,'Change in Proportion Calc'!$A$5:$A$311,'Change in Proportion Calc'!L$5:L$311,,0,)</f>
        <v>3239</v>
      </c>
      <c r="D12" s="85">
        <f>_xlfn.XLOOKUP($A12,'Change in Proportion Calc'!$A$5:$A$311,'Change in Proportion Calc'!M$5:M$311,,0,)</f>
        <v>3239</v>
      </c>
      <c r="E12" s="85">
        <f>_xlfn.XLOOKUP($A12,'Change in Proportion Calc'!$A$5:$A$311,'Change in Proportion Calc'!N$5:N$311,,0,)</f>
        <v>3239</v>
      </c>
      <c r="F12" s="85">
        <f>_xlfn.XLOOKUP($A12,'Change in Proportion Calc'!$A$5:$A$311,'Change in Proportion Calc'!O$5:O$311,,0,)</f>
        <v>3239</v>
      </c>
      <c r="G12" s="85">
        <f>_xlfn.XLOOKUP($A12,'Change in Proportion Calc'!$A$5:$A$311,'Change in Proportion Calc'!P$5:P$311,,0,)</f>
        <v>3010</v>
      </c>
      <c r="H12" s="228"/>
      <c r="I12" s="85">
        <v>49810</v>
      </c>
      <c r="J12" s="85">
        <v>49810</v>
      </c>
      <c r="K12" s="85">
        <v>49810</v>
      </c>
      <c r="L12" s="85">
        <v>49810</v>
      </c>
      <c r="M12" s="85">
        <v>43335</v>
      </c>
      <c r="N12" s="85"/>
      <c r="O12" s="85">
        <v>1433</v>
      </c>
      <c r="P12" s="85">
        <v>1433</v>
      </c>
      <c r="Q12" s="85">
        <v>1433</v>
      </c>
      <c r="R12" s="85">
        <v>1273</v>
      </c>
      <c r="S12" s="228"/>
      <c r="T12" s="85">
        <v>18142</v>
      </c>
      <c r="U12" s="85">
        <v>18142</v>
      </c>
      <c r="V12" s="85">
        <v>17777</v>
      </c>
      <c r="W12" s="228"/>
      <c r="X12" s="243">
        <v>-26190</v>
      </c>
      <c r="Y12" s="244">
        <v>-25667</v>
      </c>
      <c r="Z12" s="62"/>
      <c r="AA12" s="141">
        <v>-34584</v>
      </c>
      <c r="AD12" s="244">
        <f>VLOOKUP(A12,'Change in Proportion Calc'!$A$5:$H$311,8,FALSE)+SUMIF($C$5:$AB$5,2025,C12:AB12)</f>
        <v>11850</v>
      </c>
      <c r="AF12" s="243">
        <f t="shared" si="0"/>
        <v>248789</v>
      </c>
      <c r="AG12" s="243">
        <f t="shared" si="1"/>
        <v>25667</v>
      </c>
      <c r="AI12" s="243">
        <f>VLOOKUP(A12,'OPEB Amounts_Report'!$A$10:$G$324,7,FALSE)</f>
        <v>248789</v>
      </c>
      <c r="AJ12" s="244">
        <f t="shared" si="2"/>
        <v>0</v>
      </c>
      <c r="AK12" s="244"/>
      <c r="AL12" s="354">
        <f t="shared" si="3"/>
        <v>2390</v>
      </c>
      <c r="AM12" s="243">
        <f t="shared" si="4"/>
        <v>46957</v>
      </c>
      <c r="AN12" s="243">
        <f t="shared" si="5"/>
        <v>72259</v>
      </c>
      <c r="AO12" s="243">
        <f t="shared" si="6"/>
        <v>54322</v>
      </c>
      <c r="AP12" s="243">
        <f t="shared" si="7"/>
        <v>46574</v>
      </c>
      <c r="AQ12" s="243">
        <f t="shared" si="8"/>
        <v>3010</v>
      </c>
    </row>
    <row r="13" spans="1:43" s="191" customFormat="1">
      <c r="A13" s="227">
        <v>2441</v>
      </c>
      <c r="B13" s="228" t="s">
        <v>419</v>
      </c>
      <c r="C13" s="85">
        <f>_xlfn.XLOOKUP($A13,'Change in Proportion Calc'!$A$5:$A$311,'Change in Proportion Calc'!L$5:L$311,,0,)</f>
        <v>-19001</v>
      </c>
      <c r="D13" s="85">
        <f>_xlfn.XLOOKUP($A13,'Change in Proportion Calc'!$A$5:$A$311,'Change in Proportion Calc'!M$5:M$311,,0,)</f>
        <v>-19001</v>
      </c>
      <c r="E13" s="85">
        <f>_xlfn.XLOOKUP($A13,'Change in Proportion Calc'!$A$5:$A$311,'Change in Proportion Calc'!N$5:N$311,,0,)</f>
        <v>-19001</v>
      </c>
      <c r="F13" s="85">
        <f>_xlfn.XLOOKUP($A13,'Change in Proportion Calc'!$A$5:$A$311,'Change in Proportion Calc'!O$5:O$311,,0,)</f>
        <v>-19001</v>
      </c>
      <c r="G13" s="85">
        <f>_xlfn.XLOOKUP($A13,'Change in Proportion Calc'!$A$5:$A$311,'Change in Proportion Calc'!P$5:P$311,,0,)</f>
        <v>-17670</v>
      </c>
      <c r="H13" s="228"/>
      <c r="I13" s="85">
        <v>85156</v>
      </c>
      <c r="J13" s="85">
        <v>85156</v>
      </c>
      <c r="K13" s="85">
        <v>85156</v>
      </c>
      <c r="L13" s="85">
        <v>85156</v>
      </c>
      <c r="M13" s="85">
        <v>74084</v>
      </c>
      <c r="N13" s="85"/>
      <c r="O13" s="85">
        <v>8073</v>
      </c>
      <c r="P13" s="85">
        <v>8073</v>
      </c>
      <c r="Q13" s="85">
        <v>8073</v>
      </c>
      <c r="R13" s="85">
        <v>7183</v>
      </c>
      <c r="S13" s="228"/>
      <c r="T13" s="85">
        <v>65520</v>
      </c>
      <c r="U13" s="85">
        <v>65520</v>
      </c>
      <c r="V13" s="85">
        <v>64212</v>
      </c>
      <c r="W13" s="228"/>
      <c r="X13" s="243">
        <v>0</v>
      </c>
      <c r="Y13" s="243">
        <v>0</v>
      </c>
      <c r="Z13" s="228"/>
      <c r="AA13" s="243">
        <v>0</v>
      </c>
      <c r="AD13" s="244">
        <f>VLOOKUP(A13,'Change in Proportion Calc'!$A$5:$H$311,8,FALSE)+SUMIF($C$5:$AB$5,2025,C13:AB13)</f>
        <v>139748</v>
      </c>
      <c r="AF13" s="243">
        <f t="shared" si="0"/>
        <v>482613</v>
      </c>
      <c r="AG13" s="243">
        <f t="shared" si="1"/>
        <v>93674</v>
      </c>
      <c r="AI13" s="243">
        <f>VLOOKUP(A13,'OPEB Amounts_Report'!$A$10:$G$324,7,FALSE)</f>
        <v>482613</v>
      </c>
      <c r="AJ13" s="244">
        <f t="shared" si="2"/>
        <v>0</v>
      </c>
      <c r="AK13" s="244"/>
      <c r="AL13" s="354">
        <f t="shared" si="3"/>
        <v>2441</v>
      </c>
      <c r="AM13" s="243">
        <f t="shared" si="4"/>
        <v>139748</v>
      </c>
      <c r="AN13" s="243">
        <f t="shared" si="5"/>
        <v>138440</v>
      </c>
      <c r="AO13" s="243">
        <f t="shared" si="6"/>
        <v>73338</v>
      </c>
      <c r="AP13" s="243">
        <f t="shared" si="7"/>
        <v>55083</v>
      </c>
      <c r="AQ13" s="243">
        <f t="shared" si="8"/>
        <v>-17670</v>
      </c>
    </row>
    <row r="14" spans="1:43">
      <c r="A14" s="61">
        <v>15046</v>
      </c>
      <c r="B14" s="62" t="s">
        <v>10</v>
      </c>
      <c r="C14" s="85">
        <f>_xlfn.XLOOKUP($A14,'Change in Proportion Calc'!$A$5:$A$311,'Change in Proportion Calc'!L$5:L$311,,0,)</f>
        <v>220347</v>
      </c>
      <c r="D14" s="85">
        <f>_xlfn.XLOOKUP($A14,'Change in Proportion Calc'!$A$5:$A$311,'Change in Proportion Calc'!M$5:M$311,,0,)</f>
        <v>220347</v>
      </c>
      <c r="E14" s="85">
        <f>_xlfn.XLOOKUP($A14,'Change in Proportion Calc'!$A$5:$A$311,'Change in Proportion Calc'!N$5:N$311,,0,)</f>
        <v>220347</v>
      </c>
      <c r="F14" s="85">
        <f>_xlfn.XLOOKUP($A14,'Change in Proportion Calc'!$A$5:$A$311,'Change in Proportion Calc'!O$5:O$311,,0,)</f>
        <v>220347</v>
      </c>
      <c r="G14" s="85">
        <f>_xlfn.XLOOKUP($A14,'Change in Proportion Calc'!$A$5:$A$311,'Change in Proportion Calc'!P$5:P$311,,0,)</f>
        <v>204922</v>
      </c>
      <c r="H14" s="228"/>
      <c r="I14" s="85">
        <v>274255</v>
      </c>
      <c r="J14" s="85">
        <v>274255</v>
      </c>
      <c r="K14" s="85">
        <v>274255</v>
      </c>
      <c r="L14" s="85">
        <v>274255</v>
      </c>
      <c r="M14" s="85">
        <v>238604</v>
      </c>
      <c r="N14" s="85"/>
      <c r="O14" s="85">
        <v>-229342</v>
      </c>
      <c r="P14" s="85">
        <v>-229342</v>
      </c>
      <c r="Q14" s="85">
        <v>-229342</v>
      </c>
      <c r="R14" s="85">
        <v>-204112</v>
      </c>
      <c r="S14" s="228"/>
      <c r="T14" s="85">
        <v>-40657</v>
      </c>
      <c r="U14" s="85">
        <v>-40657</v>
      </c>
      <c r="V14" s="85">
        <v>-39842</v>
      </c>
      <c r="W14" s="228"/>
      <c r="X14" s="243">
        <v>377481</v>
      </c>
      <c r="Y14" s="244">
        <v>369929</v>
      </c>
      <c r="Z14" s="62"/>
      <c r="AA14" s="141">
        <v>-12169</v>
      </c>
      <c r="AD14" s="244">
        <f>VLOOKUP(A14,'Change in Proportion Calc'!$A$5:$H$311,8,FALSE)+SUMIF($C$5:$AB$5,2025,C14:AB14)</f>
        <v>589915</v>
      </c>
      <c r="AF14" s="243">
        <f t="shared" si="0"/>
        <v>2517608</v>
      </c>
      <c r="AG14" s="243">
        <f t="shared" si="1"/>
        <v>743295</v>
      </c>
      <c r="AI14" s="243">
        <f>VLOOKUP(A14,'OPEB Amounts_Report'!$A$10:$G$324,7,FALSE)</f>
        <v>2517608</v>
      </c>
      <c r="AJ14" s="244">
        <f t="shared" si="2"/>
        <v>0</v>
      </c>
      <c r="AK14" s="244"/>
      <c r="AL14" s="354">
        <f t="shared" si="3"/>
        <v>15046</v>
      </c>
      <c r="AM14" s="243">
        <f t="shared" si="4"/>
        <v>594532</v>
      </c>
      <c r="AN14" s="243">
        <f t="shared" si="5"/>
        <v>225418</v>
      </c>
      <c r="AO14" s="243">
        <f t="shared" si="6"/>
        <v>290490</v>
      </c>
      <c r="AP14" s="243">
        <f t="shared" si="7"/>
        <v>458951</v>
      </c>
      <c r="AQ14" s="243">
        <f t="shared" si="8"/>
        <v>204922</v>
      </c>
    </row>
    <row r="15" spans="1:43">
      <c r="A15" s="59">
        <v>4380</v>
      </c>
      <c r="B15" s="63" t="s">
        <v>11</v>
      </c>
      <c r="C15" s="85">
        <f>_xlfn.XLOOKUP($A15,'Change in Proportion Calc'!$A$5:$A$311,'Change in Proportion Calc'!L$5:L$311,,0,)</f>
        <v>-533678</v>
      </c>
      <c r="D15" s="85">
        <f>_xlfn.XLOOKUP($A15,'Change in Proportion Calc'!$A$5:$A$311,'Change in Proportion Calc'!M$5:M$311,,0,)</f>
        <v>-533678</v>
      </c>
      <c r="E15" s="85">
        <f>_xlfn.XLOOKUP($A15,'Change in Proportion Calc'!$A$5:$A$311,'Change in Proportion Calc'!N$5:N$311,,0,)</f>
        <v>-533678</v>
      </c>
      <c r="F15" s="85">
        <f>_xlfn.XLOOKUP($A15,'Change in Proportion Calc'!$A$5:$A$311,'Change in Proportion Calc'!O$5:O$311,,0,)</f>
        <v>-533678</v>
      </c>
      <c r="G15" s="85">
        <f>_xlfn.XLOOKUP($A15,'Change in Proportion Calc'!$A$5:$A$311,'Change in Proportion Calc'!P$5:P$311,,0,)</f>
        <v>-496320</v>
      </c>
      <c r="H15" s="228"/>
      <c r="I15" s="85">
        <v>106631</v>
      </c>
      <c r="J15" s="85">
        <v>106631</v>
      </c>
      <c r="K15" s="85">
        <v>106631</v>
      </c>
      <c r="L15" s="85">
        <v>106631</v>
      </c>
      <c r="M15" s="85">
        <v>92769</v>
      </c>
      <c r="N15" s="85"/>
      <c r="O15" s="85">
        <v>-181885</v>
      </c>
      <c r="P15" s="85">
        <v>-181885</v>
      </c>
      <c r="Q15" s="85">
        <v>-181885</v>
      </c>
      <c r="R15" s="85">
        <v>-161880</v>
      </c>
      <c r="S15" s="228"/>
      <c r="T15" s="85">
        <v>58717</v>
      </c>
      <c r="U15" s="85">
        <v>58717</v>
      </c>
      <c r="V15" s="85">
        <v>57545</v>
      </c>
      <c r="W15" s="228"/>
      <c r="X15" s="243">
        <v>-420930</v>
      </c>
      <c r="Y15" s="244">
        <v>-412513</v>
      </c>
      <c r="Z15" s="62"/>
      <c r="AA15" s="141">
        <v>-101209</v>
      </c>
      <c r="AD15" s="244">
        <f>VLOOKUP(A15,'Change in Proportion Calc'!$A$5:$H$311,8,FALSE)+SUMIF($C$5:$AB$5,2025,C15:AB15)</f>
        <v>-1072354</v>
      </c>
      <c r="AF15" s="243">
        <f t="shared" si="0"/>
        <v>528924</v>
      </c>
      <c r="AG15" s="243">
        <f t="shared" si="1"/>
        <v>3569195</v>
      </c>
      <c r="AI15" s="243">
        <f>VLOOKUP(A15,'OPEB Amounts_Report'!$A$10:$G$324,7,FALSE)</f>
        <v>528924</v>
      </c>
      <c r="AJ15" s="244">
        <f t="shared" si="2"/>
        <v>0</v>
      </c>
      <c r="AK15" s="244"/>
      <c r="AL15" s="354">
        <f t="shared" si="3"/>
        <v>4380</v>
      </c>
      <c r="AM15" s="243">
        <f t="shared" si="4"/>
        <v>-962728</v>
      </c>
      <c r="AN15" s="243">
        <f t="shared" si="5"/>
        <v>-551387</v>
      </c>
      <c r="AO15" s="243">
        <f t="shared" si="6"/>
        <v>-588927</v>
      </c>
      <c r="AP15" s="243">
        <f t="shared" si="7"/>
        <v>-440909</v>
      </c>
      <c r="AQ15" s="243">
        <f t="shared" si="8"/>
        <v>-496320</v>
      </c>
    </row>
    <row r="16" spans="1:43">
      <c r="A16" s="61">
        <v>2435</v>
      </c>
      <c r="B16" s="62" t="s">
        <v>396</v>
      </c>
      <c r="C16" s="85">
        <f>_xlfn.XLOOKUP($A16,'Change in Proportion Calc'!$A$5:$A$311,'Change in Proportion Calc'!L$5:L$311,,0,)</f>
        <v>1840</v>
      </c>
      <c r="D16" s="85">
        <f>_xlfn.XLOOKUP($A16,'Change in Proportion Calc'!$A$5:$A$311,'Change in Proportion Calc'!M$5:M$311,,0,)</f>
        <v>1840</v>
      </c>
      <c r="E16" s="85">
        <f>_xlfn.XLOOKUP($A16,'Change in Proportion Calc'!$A$5:$A$311,'Change in Proportion Calc'!N$5:N$311,,0,)</f>
        <v>1840</v>
      </c>
      <c r="F16" s="85">
        <f>_xlfn.XLOOKUP($A16,'Change in Proportion Calc'!$A$5:$A$311,'Change in Proportion Calc'!O$5:O$311,,0,)</f>
        <v>1840</v>
      </c>
      <c r="G16" s="85">
        <f>_xlfn.XLOOKUP($A16,'Change in Proportion Calc'!$A$5:$A$311,'Change in Proportion Calc'!P$5:P$311,,0,)</f>
        <v>1713</v>
      </c>
      <c r="H16" s="228"/>
      <c r="I16" s="85">
        <v>29561</v>
      </c>
      <c r="J16" s="85">
        <v>29561</v>
      </c>
      <c r="K16" s="85">
        <v>29561</v>
      </c>
      <c r="L16" s="85">
        <v>29561</v>
      </c>
      <c r="M16" s="85">
        <v>25718</v>
      </c>
      <c r="N16" s="85"/>
      <c r="O16" s="85">
        <v>33723</v>
      </c>
      <c r="P16" s="85">
        <v>33723</v>
      </c>
      <c r="Q16" s="85">
        <v>33723</v>
      </c>
      <c r="R16" s="85">
        <v>30014</v>
      </c>
      <c r="S16" s="228"/>
      <c r="T16" s="85">
        <v>37336</v>
      </c>
      <c r="U16" s="85">
        <v>37336</v>
      </c>
      <c r="V16" s="85">
        <v>36590</v>
      </c>
      <c r="W16" s="228"/>
      <c r="X16" s="243">
        <v>22927</v>
      </c>
      <c r="Y16" s="244">
        <v>22469</v>
      </c>
      <c r="Z16" s="62"/>
      <c r="AA16" s="141">
        <v>43280</v>
      </c>
      <c r="AD16" s="244">
        <f>VLOOKUP(A16,'Change in Proportion Calc'!$A$5:$H$311,8,FALSE)+SUMIF($C$5:$AB$5,2025,C16:AB16)</f>
        <v>168667</v>
      </c>
      <c r="AF16" s="243">
        <f t="shared" si="0"/>
        <v>317329</v>
      </c>
      <c r="AG16" s="243">
        <f t="shared" si="1"/>
        <v>0</v>
      </c>
      <c r="AI16" s="243">
        <f>VLOOKUP(A16,'OPEB Amounts_Report'!$A$10:$G$324,7,FALSE)</f>
        <v>317329</v>
      </c>
      <c r="AJ16" s="244">
        <f t="shared" si="2"/>
        <v>0</v>
      </c>
      <c r="AK16" s="244"/>
      <c r="AL16" s="354">
        <f t="shared" si="3"/>
        <v>2435</v>
      </c>
      <c r="AM16" s="243">
        <f t="shared" si="4"/>
        <v>124929</v>
      </c>
      <c r="AN16" s="243">
        <f t="shared" si="5"/>
        <v>101714</v>
      </c>
      <c r="AO16" s="243">
        <f t="shared" si="6"/>
        <v>61415</v>
      </c>
      <c r="AP16" s="243">
        <f t="shared" si="7"/>
        <v>27558</v>
      </c>
      <c r="AQ16" s="243">
        <f t="shared" si="8"/>
        <v>1713</v>
      </c>
    </row>
    <row r="17" spans="1:43">
      <c r="A17" s="59">
        <v>4560</v>
      </c>
      <c r="B17" s="63" t="s">
        <v>12</v>
      </c>
      <c r="C17" s="85">
        <f>_xlfn.XLOOKUP($A17,'Change in Proportion Calc'!$A$5:$A$311,'Change in Proportion Calc'!L$5:L$311,,0,)</f>
        <v>15426</v>
      </c>
      <c r="D17" s="85">
        <f>_xlfn.XLOOKUP($A17,'Change in Proportion Calc'!$A$5:$A$311,'Change in Proportion Calc'!M$5:M$311,,0,)</f>
        <v>15426</v>
      </c>
      <c r="E17" s="85">
        <f>_xlfn.XLOOKUP($A17,'Change in Proportion Calc'!$A$5:$A$311,'Change in Proportion Calc'!N$5:N$311,,0,)</f>
        <v>15426</v>
      </c>
      <c r="F17" s="85">
        <f>_xlfn.XLOOKUP($A17,'Change in Proportion Calc'!$A$5:$A$311,'Change in Proportion Calc'!O$5:O$311,,0,)</f>
        <v>15426</v>
      </c>
      <c r="G17" s="85">
        <f>_xlfn.XLOOKUP($A17,'Change in Proportion Calc'!$A$5:$A$311,'Change in Proportion Calc'!P$5:P$311,,0,)</f>
        <v>14347</v>
      </c>
      <c r="H17" s="228"/>
      <c r="I17" s="85">
        <v>-7820</v>
      </c>
      <c r="J17" s="85">
        <v>-7820</v>
      </c>
      <c r="K17" s="85">
        <v>-7820</v>
      </c>
      <c r="L17" s="85">
        <v>-7820</v>
      </c>
      <c r="M17" s="85">
        <v>-6803</v>
      </c>
      <c r="N17" s="85"/>
      <c r="O17" s="85">
        <v>-33737</v>
      </c>
      <c r="P17" s="85">
        <v>-33737</v>
      </c>
      <c r="Q17" s="85">
        <v>-33737</v>
      </c>
      <c r="R17" s="85">
        <v>-30028</v>
      </c>
      <c r="S17" s="228"/>
      <c r="T17" s="85">
        <v>42034</v>
      </c>
      <c r="U17" s="85">
        <v>42034</v>
      </c>
      <c r="V17" s="85">
        <v>41191</v>
      </c>
      <c r="W17" s="228"/>
      <c r="X17" s="243">
        <v>-17174</v>
      </c>
      <c r="Y17" s="244">
        <v>-16829</v>
      </c>
      <c r="Z17" s="62"/>
      <c r="AA17" s="141">
        <v>-21113</v>
      </c>
      <c r="AD17" s="244">
        <f>VLOOKUP(A17,'Change in Proportion Calc'!$A$5:$H$311,8,FALSE)+SUMIF($C$5:$AB$5,2025,C17:AB17)</f>
        <v>-22384</v>
      </c>
      <c r="AF17" s="243">
        <f t="shared" si="0"/>
        <v>159276</v>
      </c>
      <c r="AG17" s="243">
        <f t="shared" si="1"/>
        <v>144594</v>
      </c>
      <c r="AI17" s="243">
        <f>VLOOKUP(A17,'OPEB Amounts_Report'!$A$10:$G$324,7,FALSE)</f>
        <v>159276</v>
      </c>
      <c r="AJ17" s="244">
        <f t="shared" si="2"/>
        <v>0</v>
      </c>
      <c r="AK17" s="244"/>
      <c r="AL17" s="354">
        <f t="shared" si="3"/>
        <v>4560</v>
      </c>
      <c r="AM17" s="243">
        <f t="shared" si="4"/>
        <v>-926</v>
      </c>
      <c r="AN17" s="243">
        <f t="shared" si="5"/>
        <v>15060</v>
      </c>
      <c r="AO17" s="243">
        <f t="shared" si="6"/>
        <v>-22422</v>
      </c>
      <c r="AP17" s="243">
        <f t="shared" si="7"/>
        <v>8623</v>
      </c>
      <c r="AQ17" s="243">
        <f t="shared" si="8"/>
        <v>14347</v>
      </c>
    </row>
    <row r="18" spans="1:43">
      <c r="A18" s="61">
        <v>2341</v>
      </c>
      <c r="B18" s="62" t="s">
        <v>417</v>
      </c>
      <c r="C18" s="85">
        <f>_xlfn.XLOOKUP($A18,'Change in Proportion Calc'!$A$5:$A$311,'Change in Proportion Calc'!L$5:L$311,,0,)</f>
        <v>-7635</v>
      </c>
      <c r="D18" s="85">
        <f>_xlfn.XLOOKUP($A18,'Change in Proportion Calc'!$A$5:$A$311,'Change in Proportion Calc'!M$5:M$311,,0,)</f>
        <v>-7635</v>
      </c>
      <c r="E18" s="85">
        <f>_xlfn.XLOOKUP($A18,'Change in Proportion Calc'!$A$5:$A$311,'Change in Proportion Calc'!N$5:N$311,,0,)</f>
        <v>-7635</v>
      </c>
      <c r="F18" s="85">
        <f>_xlfn.XLOOKUP($A18,'Change in Proportion Calc'!$A$5:$A$311,'Change in Proportion Calc'!O$5:O$311,,0,)</f>
        <v>-7635</v>
      </c>
      <c r="G18" s="85">
        <f>_xlfn.XLOOKUP($A18,'Change in Proportion Calc'!$A$5:$A$311,'Change in Proportion Calc'!P$5:P$311,,0,)</f>
        <v>-7099</v>
      </c>
      <c r="H18" s="228"/>
      <c r="I18" s="85">
        <v>-9017</v>
      </c>
      <c r="J18" s="85">
        <v>-9017</v>
      </c>
      <c r="K18" s="85">
        <v>-9017</v>
      </c>
      <c r="L18" s="85">
        <v>-9017</v>
      </c>
      <c r="M18" s="85">
        <v>-7844</v>
      </c>
      <c r="N18" s="85"/>
      <c r="O18" s="85">
        <v>-1132</v>
      </c>
      <c r="P18" s="85">
        <v>-1132</v>
      </c>
      <c r="Q18" s="85">
        <v>-1132</v>
      </c>
      <c r="R18" s="85">
        <v>-1008</v>
      </c>
      <c r="S18" s="228"/>
      <c r="T18" s="85">
        <v>-13930</v>
      </c>
      <c r="U18" s="85">
        <v>-13930</v>
      </c>
      <c r="V18" s="85">
        <v>-13653</v>
      </c>
      <c r="W18" s="228"/>
      <c r="X18" s="243">
        <v>-10047</v>
      </c>
      <c r="Y18" s="244">
        <v>-9844</v>
      </c>
      <c r="Z18" s="62"/>
      <c r="AA18" s="141">
        <v>6582</v>
      </c>
      <c r="AD18" s="244">
        <f>VLOOKUP(A18,'Change in Proportion Calc'!$A$5:$H$311,8,FALSE)+SUMIF($C$5:$AB$5,2025,C18:AB18)</f>
        <v>-35179</v>
      </c>
      <c r="AF18" s="243">
        <f t="shared" si="0"/>
        <v>0</v>
      </c>
      <c r="AG18" s="243">
        <f t="shared" si="1"/>
        <v>113233</v>
      </c>
      <c r="AI18" s="243">
        <f>VLOOKUP(A18,'OPEB Amounts_Report'!$A$10:$G$324,7,FALSE)</f>
        <v>0</v>
      </c>
      <c r="AJ18" s="244">
        <f t="shared" si="2"/>
        <v>0</v>
      </c>
      <c r="AK18" s="244"/>
      <c r="AL18" s="354">
        <f t="shared" si="3"/>
        <v>2341</v>
      </c>
      <c r="AM18" s="243">
        <f t="shared" si="4"/>
        <v>-41558</v>
      </c>
      <c r="AN18" s="243">
        <f t="shared" si="5"/>
        <v>-31437</v>
      </c>
      <c r="AO18" s="243">
        <f t="shared" si="6"/>
        <v>-17660</v>
      </c>
      <c r="AP18" s="243">
        <f t="shared" si="7"/>
        <v>-15479</v>
      </c>
      <c r="AQ18" s="243">
        <f t="shared" si="8"/>
        <v>-7099</v>
      </c>
    </row>
    <row r="19" spans="1:43">
      <c r="A19" s="59">
        <v>4580</v>
      </c>
      <c r="B19" s="63" t="s">
        <v>397</v>
      </c>
      <c r="C19" s="85">
        <f>_xlfn.XLOOKUP($A19,'Change in Proportion Calc'!$A$5:$A$311,'Change in Proportion Calc'!L$5:L$311,,0,)</f>
        <v>4015</v>
      </c>
      <c r="D19" s="85">
        <f>_xlfn.XLOOKUP($A19,'Change in Proportion Calc'!$A$5:$A$311,'Change in Proportion Calc'!M$5:M$311,,0,)</f>
        <v>4015</v>
      </c>
      <c r="E19" s="85">
        <f>_xlfn.XLOOKUP($A19,'Change in Proportion Calc'!$A$5:$A$311,'Change in Proportion Calc'!N$5:N$311,,0,)</f>
        <v>4015</v>
      </c>
      <c r="F19" s="85">
        <f>_xlfn.XLOOKUP($A19,'Change in Proportion Calc'!$A$5:$A$311,'Change in Proportion Calc'!O$5:O$311,,0,)</f>
        <v>4015</v>
      </c>
      <c r="G19" s="85">
        <f>_xlfn.XLOOKUP($A19,'Change in Proportion Calc'!$A$5:$A$311,'Change in Proportion Calc'!P$5:P$311,,0,)</f>
        <v>3734</v>
      </c>
      <c r="H19" s="228"/>
      <c r="I19" s="85">
        <v>11559</v>
      </c>
      <c r="J19" s="85">
        <v>11559</v>
      </c>
      <c r="K19" s="85">
        <v>11559</v>
      </c>
      <c r="L19" s="85">
        <v>11559</v>
      </c>
      <c r="M19" s="85">
        <v>10055</v>
      </c>
      <c r="N19" s="85"/>
      <c r="O19" s="85">
        <v>10222</v>
      </c>
      <c r="P19" s="85">
        <v>10222</v>
      </c>
      <c r="Q19" s="85">
        <v>10222</v>
      </c>
      <c r="R19" s="85">
        <v>9100</v>
      </c>
      <c r="S19" s="228"/>
      <c r="T19" s="85">
        <v>-3320</v>
      </c>
      <c r="U19" s="85">
        <v>-3320</v>
      </c>
      <c r="V19" s="85">
        <v>-3256</v>
      </c>
      <c r="W19" s="228"/>
      <c r="X19" s="243">
        <v>-17775</v>
      </c>
      <c r="Y19" s="244">
        <v>-17419</v>
      </c>
      <c r="Z19" s="62"/>
      <c r="AA19" s="141">
        <v>208257</v>
      </c>
      <c r="AD19" s="244">
        <f>VLOOKUP(A19,'Change in Proportion Calc'!$A$5:$H$311,8,FALSE)+SUMIF($C$5:$AB$5,2025,C19:AB19)</f>
        <v>212958</v>
      </c>
      <c r="AF19" s="243">
        <f t="shared" si="0"/>
        <v>94070</v>
      </c>
      <c r="AG19" s="243">
        <f t="shared" si="1"/>
        <v>23995</v>
      </c>
      <c r="AI19" s="243">
        <f>VLOOKUP(A19,'OPEB Amounts_Report'!$A$10:$G$324,7,FALSE)</f>
        <v>94070</v>
      </c>
      <c r="AJ19" s="244">
        <f t="shared" si="2"/>
        <v>0</v>
      </c>
      <c r="AK19" s="244"/>
      <c r="AL19" s="354">
        <f t="shared" si="3"/>
        <v>4580</v>
      </c>
      <c r="AM19" s="243">
        <f t="shared" si="4"/>
        <v>5057</v>
      </c>
      <c r="AN19" s="243">
        <f t="shared" si="5"/>
        <v>22540</v>
      </c>
      <c r="AO19" s="243">
        <f t="shared" si="6"/>
        <v>24674</v>
      </c>
      <c r="AP19" s="243">
        <f t="shared" si="7"/>
        <v>14070</v>
      </c>
      <c r="AQ19" s="243">
        <f t="shared" si="8"/>
        <v>3734</v>
      </c>
    </row>
    <row r="20" spans="1:43">
      <c r="A20" s="61">
        <v>2003</v>
      </c>
      <c r="B20" s="62" t="s">
        <v>13</v>
      </c>
      <c r="C20" s="85">
        <f>_xlfn.XLOOKUP($A20,'Change in Proportion Calc'!$A$5:$A$311,'Change in Proportion Calc'!L$5:L$311,,0,)</f>
        <v>-805577</v>
      </c>
      <c r="D20" s="85">
        <f>_xlfn.XLOOKUP($A20,'Change in Proportion Calc'!$A$5:$A$311,'Change in Proportion Calc'!M$5:M$311,,0,)</f>
        <v>-805577</v>
      </c>
      <c r="E20" s="85">
        <f>_xlfn.XLOOKUP($A20,'Change in Proportion Calc'!$A$5:$A$311,'Change in Proportion Calc'!N$5:N$311,,0,)</f>
        <v>-805577</v>
      </c>
      <c r="F20" s="85">
        <f>_xlfn.XLOOKUP($A20,'Change in Proportion Calc'!$A$5:$A$311,'Change in Proportion Calc'!O$5:O$311,,0,)</f>
        <v>-805577</v>
      </c>
      <c r="G20" s="85">
        <f>_xlfn.XLOOKUP($A20,'Change in Proportion Calc'!$A$5:$A$311,'Change in Proportion Calc'!P$5:P$311,,0,)</f>
        <v>-749184</v>
      </c>
      <c r="H20" s="228"/>
      <c r="I20" s="85">
        <v>-1507398</v>
      </c>
      <c r="J20" s="85">
        <v>-1507398</v>
      </c>
      <c r="K20" s="85">
        <v>-1507398</v>
      </c>
      <c r="L20" s="85">
        <v>-1507398</v>
      </c>
      <c r="M20" s="85">
        <v>-1311436</v>
      </c>
      <c r="N20" s="85"/>
      <c r="O20" s="85">
        <v>928993</v>
      </c>
      <c r="P20" s="85">
        <v>928993</v>
      </c>
      <c r="Q20" s="85">
        <v>928993</v>
      </c>
      <c r="R20" s="85">
        <v>826806</v>
      </c>
      <c r="S20" s="228"/>
      <c r="T20" s="85">
        <v>-1941965</v>
      </c>
      <c r="U20" s="85">
        <v>-1941965</v>
      </c>
      <c r="V20" s="85">
        <v>-1903127</v>
      </c>
      <c r="W20" s="228"/>
      <c r="X20" s="243">
        <v>3085190</v>
      </c>
      <c r="Y20" s="244">
        <v>3023487</v>
      </c>
      <c r="Z20" s="62"/>
      <c r="AA20" s="141">
        <v>911328</v>
      </c>
      <c r="AD20" s="244">
        <f>VLOOKUP(A20,'Change in Proportion Calc'!$A$5:$H$311,8,FALSE)+SUMIF($C$5:$AB$5,2025,C20:AB20)</f>
        <v>670571</v>
      </c>
      <c r="AF20" s="243">
        <f t="shared" si="0"/>
        <v>5708279</v>
      </c>
      <c r="AG20" s="243">
        <f t="shared" si="1"/>
        <v>13650214</v>
      </c>
      <c r="AI20" s="243">
        <f>VLOOKUP(A20,'OPEB Amounts_Report'!$A$10:$G$324,7,FALSE)</f>
        <v>5708279</v>
      </c>
      <c r="AJ20" s="244">
        <f t="shared" si="2"/>
        <v>0</v>
      </c>
      <c r="AK20" s="244"/>
      <c r="AL20" s="354">
        <f t="shared" si="3"/>
        <v>2003</v>
      </c>
      <c r="AM20" s="243">
        <f t="shared" si="4"/>
        <v>-302460</v>
      </c>
      <c r="AN20" s="243">
        <f t="shared" si="5"/>
        <v>-3287109</v>
      </c>
      <c r="AO20" s="243">
        <f t="shared" si="6"/>
        <v>-1486169</v>
      </c>
      <c r="AP20" s="243">
        <f t="shared" si="7"/>
        <v>-2117013</v>
      </c>
      <c r="AQ20" s="243">
        <f t="shared" si="8"/>
        <v>-749184</v>
      </c>
    </row>
    <row r="21" spans="1:43">
      <c r="A21" s="59">
        <v>2412</v>
      </c>
      <c r="B21" s="63" t="s">
        <v>14</v>
      </c>
      <c r="C21" s="85">
        <f>_xlfn.XLOOKUP($A21,'Change in Proportion Calc'!$A$5:$A$311,'Change in Proportion Calc'!L$5:L$311,,0,)</f>
        <v>25637</v>
      </c>
      <c r="D21" s="85">
        <f>_xlfn.XLOOKUP($A21,'Change in Proportion Calc'!$A$5:$A$311,'Change in Proportion Calc'!M$5:M$311,,0,)</f>
        <v>25637</v>
      </c>
      <c r="E21" s="85">
        <f>_xlfn.XLOOKUP($A21,'Change in Proportion Calc'!$A$5:$A$311,'Change in Proportion Calc'!N$5:N$311,,0,)</f>
        <v>25637</v>
      </c>
      <c r="F21" s="85">
        <f>_xlfn.XLOOKUP($A21,'Change in Proportion Calc'!$A$5:$A$311,'Change in Proportion Calc'!O$5:O$311,,0,)</f>
        <v>25637</v>
      </c>
      <c r="G21" s="85">
        <f>_xlfn.XLOOKUP($A21,'Change in Proportion Calc'!$A$5:$A$311,'Change in Proportion Calc'!P$5:P$311,,0,)</f>
        <v>23841</v>
      </c>
      <c r="H21" s="228"/>
      <c r="I21" s="85">
        <v>-15500</v>
      </c>
      <c r="J21" s="85">
        <v>-15500</v>
      </c>
      <c r="K21" s="85">
        <v>-15500</v>
      </c>
      <c r="L21" s="85">
        <v>-15500</v>
      </c>
      <c r="M21" s="85">
        <v>-13483</v>
      </c>
      <c r="N21" s="85"/>
      <c r="O21" s="85">
        <v>111977</v>
      </c>
      <c r="P21" s="85">
        <v>111977</v>
      </c>
      <c r="Q21" s="85">
        <v>111977</v>
      </c>
      <c r="R21" s="85">
        <v>99658</v>
      </c>
      <c r="S21" s="228"/>
      <c r="T21" s="85">
        <v>219482</v>
      </c>
      <c r="U21" s="85">
        <v>219482</v>
      </c>
      <c r="V21" s="85">
        <v>215090</v>
      </c>
      <c r="W21" s="228"/>
      <c r="X21" s="243">
        <v>83722</v>
      </c>
      <c r="Y21" s="244">
        <v>82050</v>
      </c>
      <c r="Z21" s="62"/>
      <c r="AA21" s="141">
        <v>73828</v>
      </c>
      <c r="AD21" s="244">
        <f>VLOOKUP(A21,'Change in Proportion Calc'!$A$5:$H$311,8,FALSE)+SUMIF($C$5:$AB$5,2025,C21:AB21)</f>
        <v>499146</v>
      </c>
      <c r="AF21" s="243">
        <f t="shared" si="0"/>
        <v>966623</v>
      </c>
      <c r="AG21" s="243">
        <f t="shared" si="1"/>
        <v>59983</v>
      </c>
      <c r="AI21" s="243">
        <f>VLOOKUP(A21,'OPEB Amounts_Report'!$A$10:$G$324,7,FALSE)</f>
        <v>966623</v>
      </c>
      <c r="AJ21" s="244">
        <f t="shared" si="2"/>
        <v>0</v>
      </c>
      <c r="AK21" s="244"/>
      <c r="AL21" s="354">
        <f t="shared" si="3"/>
        <v>2412</v>
      </c>
      <c r="AM21" s="243">
        <f t="shared" si="4"/>
        <v>423646</v>
      </c>
      <c r="AN21" s="243">
        <f t="shared" si="5"/>
        <v>337204</v>
      </c>
      <c r="AO21" s="243">
        <f t="shared" si="6"/>
        <v>109795</v>
      </c>
      <c r="AP21" s="243">
        <f t="shared" si="7"/>
        <v>12154</v>
      </c>
      <c r="AQ21" s="243">
        <f t="shared" si="8"/>
        <v>23841</v>
      </c>
    </row>
    <row r="22" spans="1:43">
      <c r="A22" s="61">
        <v>2402</v>
      </c>
      <c r="B22" s="62" t="s">
        <v>15</v>
      </c>
      <c r="C22" s="85">
        <f>_xlfn.XLOOKUP($A22,'Change in Proportion Calc'!$A$5:$A$311,'Change in Proportion Calc'!L$5:L$311,,0,)</f>
        <v>50136</v>
      </c>
      <c r="D22" s="85">
        <f>_xlfn.XLOOKUP($A22,'Change in Proportion Calc'!$A$5:$A$311,'Change in Proportion Calc'!M$5:M$311,,0,)</f>
        <v>50136</v>
      </c>
      <c r="E22" s="85">
        <f>_xlfn.XLOOKUP($A22,'Change in Proportion Calc'!$A$5:$A$311,'Change in Proportion Calc'!N$5:N$311,,0,)</f>
        <v>50136</v>
      </c>
      <c r="F22" s="85">
        <f>_xlfn.XLOOKUP($A22,'Change in Proportion Calc'!$A$5:$A$311,'Change in Proportion Calc'!O$5:O$311,,0,)</f>
        <v>50136</v>
      </c>
      <c r="G22" s="85">
        <f>_xlfn.XLOOKUP($A22,'Change in Proportion Calc'!$A$5:$A$311,'Change in Proportion Calc'!P$5:P$311,,0,)</f>
        <v>46624</v>
      </c>
      <c r="H22" s="228"/>
      <c r="I22" s="85">
        <v>48792</v>
      </c>
      <c r="J22" s="85">
        <v>48792</v>
      </c>
      <c r="K22" s="85">
        <v>48792</v>
      </c>
      <c r="L22" s="85">
        <v>48792</v>
      </c>
      <c r="M22" s="85">
        <v>42450</v>
      </c>
      <c r="N22" s="85"/>
      <c r="O22" s="85">
        <v>31818</v>
      </c>
      <c r="P22" s="85">
        <v>31818</v>
      </c>
      <c r="Q22" s="85">
        <v>31818</v>
      </c>
      <c r="R22" s="85">
        <v>28316</v>
      </c>
      <c r="S22" s="228"/>
      <c r="T22" s="85">
        <v>28751</v>
      </c>
      <c r="U22" s="85">
        <v>28751</v>
      </c>
      <c r="V22" s="85">
        <v>28178</v>
      </c>
      <c r="W22" s="228"/>
      <c r="X22" s="243">
        <v>15027</v>
      </c>
      <c r="Y22" s="244">
        <v>14727</v>
      </c>
      <c r="Z22" s="62"/>
      <c r="AA22" s="141">
        <v>-32040</v>
      </c>
      <c r="AD22" s="244">
        <f>VLOOKUP(A22,'Change in Proportion Calc'!$A$5:$H$311,8,FALSE)+SUMIF($C$5:$AB$5,2025,C22:AB22)</f>
        <v>142484</v>
      </c>
      <c r="AF22" s="243">
        <f t="shared" si="0"/>
        <v>599602</v>
      </c>
      <c r="AG22" s="243">
        <f t="shared" si="1"/>
        <v>0</v>
      </c>
      <c r="AI22" s="243">
        <f>VLOOKUP(A22,'OPEB Amounts_Report'!$A$10:$G$324,7,FALSE)</f>
        <v>599602</v>
      </c>
      <c r="AJ22" s="244">
        <f t="shared" si="2"/>
        <v>0</v>
      </c>
      <c r="AK22" s="244"/>
      <c r="AL22" s="354">
        <f t="shared" si="3"/>
        <v>2402</v>
      </c>
      <c r="AM22" s="243">
        <f t="shared" si="4"/>
        <v>174224</v>
      </c>
      <c r="AN22" s="243">
        <f t="shared" si="5"/>
        <v>158924</v>
      </c>
      <c r="AO22" s="243">
        <f t="shared" si="6"/>
        <v>127244</v>
      </c>
      <c r="AP22" s="243">
        <f t="shared" si="7"/>
        <v>92586</v>
      </c>
      <c r="AQ22" s="243">
        <f t="shared" si="8"/>
        <v>46624</v>
      </c>
    </row>
    <row r="23" spans="1:43">
      <c r="A23" s="59">
        <v>2361</v>
      </c>
      <c r="B23" s="63" t="s">
        <v>16</v>
      </c>
      <c r="C23" s="85">
        <f>_xlfn.XLOOKUP($A23,'Change in Proportion Calc'!$A$5:$A$311,'Change in Proportion Calc'!L$5:L$311,,0,)</f>
        <v>-3856</v>
      </c>
      <c r="D23" s="85">
        <f>_xlfn.XLOOKUP($A23,'Change in Proportion Calc'!$A$5:$A$311,'Change in Proportion Calc'!M$5:M$311,,0,)</f>
        <v>-3856</v>
      </c>
      <c r="E23" s="85">
        <f>_xlfn.XLOOKUP($A23,'Change in Proportion Calc'!$A$5:$A$311,'Change in Proportion Calc'!N$5:N$311,,0,)</f>
        <v>-3856</v>
      </c>
      <c r="F23" s="85">
        <f>_xlfn.XLOOKUP($A23,'Change in Proportion Calc'!$A$5:$A$311,'Change in Proportion Calc'!O$5:O$311,,0,)</f>
        <v>-3856</v>
      </c>
      <c r="G23" s="85">
        <f>_xlfn.XLOOKUP($A23,'Change in Proportion Calc'!$A$5:$A$311,'Change in Proportion Calc'!P$5:P$311,,0,)</f>
        <v>-3585</v>
      </c>
      <c r="H23" s="228"/>
      <c r="I23" s="85">
        <v>-25652</v>
      </c>
      <c r="J23" s="85">
        <v>-25652</v>
      </c>
      <c r="K23" s="85">
        <v>-25652</v>
      </c>
      <c r="L23" s="85">
        <v>-25652</v>
      </c>
      <c r="M23" s="85">
        <v>-22315</v>
      </c>
      <c r="N23" s="85"/>
      <c r="O23" s="85">
        <v>14452</v>
      </c>
      <c r="P23" s="85">
        <v>14452</v>
      </c>
      <c r="Q23" s="85">
        <v>14452</v>
      </c>
      <c r="R23" s="85">
        <v>12860</v>
      </c>
      <c r="S23" s="228"/>
      <c r="T23" s="85">
        <v>-13120</v>
      </c>
      <c r="U23" s="85">
        <v>-13120</v>
      </c>
      <c r="V23" s="85">
        <v>-12859</v>
      </c>
      <c r="W23" s="228"/>
      <c r="X23" s="243">
        <v>-14769</v>
      </c>
      <c r="Y23" s="244">
        <v>-14476</v>
      </c>
      <c r="Z23" s="62"/>
      <c r="AA23" s="141">
        <v>9686</v>
      </c>
      <c r="AD23" s="244">
        <f>VLOOKUP(A23,'Change in Proportion Calc'!$A$5:$H$311,8,FALSE)+SUMIF($C$5:$AB$5,2025,C23:AB23)</f>
        <v>-33259</v>
      </c>
      <c r="AF23" s="243">
        <f t="shared" si="0"/>
        <v>41764</v>
      </c>
      <c r="AG23" s="243">
        <f t="shared" si="1"/>
        <v>158735</v>
      </c>
      <c r="AI23" s="243">
        <f>VLOOKUP(A23,'OPEB Amounts_Report'!$A$10:$G$324,7,FALSE)</f>
        <v>41764</v>
      </c>
      <c r="AJ23" s="244">
        <f t="shared" si="2"/>
        <v>0</v>
      </c>
      <c r="AK23" s="244"/>
      <c r="AL23" s="354">
        <f t="shared" si="3"/>
        <v>2361</v>
      </c>
      <c r="AM23" s="243">
        <f t="shared" si="4"/>
        <v>-42652</v>
      </c>
      <c r="AN23" s="243">
        <f t="shared" si="5"/>
        <v>-27915</v>
      </c>
      <c r="AO23" s="243">
        <f t="shared" si="6"/>
        <v>-16648</v>
      </c>
      <c r="AP23" s="243">
        <f t="shared" si="7"/>
        <v>-26171</v>
      </c>
      <c r="AQ23" s="243">
        <f t="shared" si="8"/>
        <v>-3585</v>
      </c>
    </row>
    <row r="24" spans="1:43">
      <c r="A24" s="61">
        <v>8347</v>
      </c>
      <c r="B24" s="62" t="s">
        <v>17</v>
      </c>
      <c r="C24" s="85">
        <f>_xlfn.XLOOKUP($A24,'Change in Proportion Calc'!$A$5:$A$311,'Change in Proportion Calc'!L$5:L$311,,0,)</f>
        <v>16641</v>
      </c>
      <c r="D24" s="85">
        <f>_xlfn.XLOOKUP($A24,'Change in Proportion Calc'!$A$5:$A$311,'Change in Proportion Calc'!M$5:M$311,,0,)</f>
        <v>16641</v>
      </c>
      <c r="E24" s="85">
        <f>_xlfn.XLOOKUP($A24,'Change in Proportion Calc'!$A$5:$A$311,'Change in Proportion Calc'!N$5:N$311,,0,)</f>
        <v>16641</v>
      </c>
      <c r="F24" s="85">
        <f>_xlfn.XLOOKUP($A24,'Change in Proportion Calc'!$A$5:$A$311,'Change in Proportion Calc'!O$5:O$311,,0,)</f>
        <v>16641</v>
      </c>
      <c r="G24" s="85">
        <f>_xlfn.XLOOKUP($A24,'Change in Proportion Calc'!$A$5:$A$311,'Change in Proportion Calc'!P$5:P$311,,0,)</f>
        <v>15475</v>
      </c>
      <c r="H24" s="228"/>
      <c r="I24" s="85">
        <v>27852</v>
      </c>
      <c r="J24" s="85">
        <v>27852</v>
      </c>
      <c r="K24" s="85">
        <v>27852</v>
      </c>
      <c r="L24" s="85">
        <v>27852</v>
      </c>
      <c r="M24" s="85">
        <v>24232</v>
      </c>
      <c r="N24" s="85"/>
      <c r="O24" s="85">
        <v>-26852</v>
      </c>
      <c r="P24" s="85">
        <v>-26852</v>
      </c>
      <c r="Q24" s="85">
        <v>-26852</v>
      </c>
      <c r="R24" s="85">
        <v>-23896</v>
      </c>
      <c r="S24" s="228"/>
      <c r="T24" s="85">
        <v>13363</v>
      </c>
      <c r="U24" s="85">
        <v>13363</v>
      </c>
      <c r="V24" s="85">
        <v>13097</v>
      </c>
      <c r="W24" s="228"/>
      <c r="X24" s="243">
        <v>-23957</v>
      </c>
      <c r="Y24" s="244">
        <v>-23480</v>
      </c>
      <c r="Z24" s="62"/>
      <c r="AA24" s="141">
        <v>871</v>
      </c>
      <c r="AD24" s="244">
        <f>VLOOKUP(A24,'Change in Proportion Calc'!$A$5:$H$311,8,FALSE)+SUMIF($C$5:$AB$5,2025,C24:AB24)</f>
        <v>7918</v>
      </c>
      <c r="AF24" s="243">
        <f t="shared" si="0"/>
        <v>216287</v>
      </c>
      <c r="AG24" s="243">
        <f t="shared" si="1"/>
        <v>101080</v>
      </c>
      <c r="AI24" s="243">
        <f>VLOOKUP(A24,'OPEB Amounts_Report'!$A$10:$G$324,7,FALSE)</f>
        <v>216287</v>
      </c>
      <c r="AJ24" s="244">
        <f t="shared" si="2"/>
        <v>0</v>
      </c>
      <c r="AK24" s="244"/>
      <c r="AL24" s="354">
        <f t="shared" si="3"/>
        <v>8347</v>
      </c>
      <c r="AM24" s="243">
        <f t="shared" si="4"/>
        <v>7524</v>
      </c>
      <c r="AN24" s="243">
        <f t="shared" si="5"/>
        <v>30738</v>
      </c>
      <c r="AO24" s="243">
        <f t="shared" si="6"/>
        <v>20597</v>
      </c>
      <c r="AP24" s="243">
        <f t="shared" si="7"/>
        <v>40873</v>
      </c>
      <c r="AQ24" s="243">
        <f t="shared" si="8"/>
        <v>15475</v>
      </c>
    </row>
    <row r="25" spans="1:43">
      <c r="A25" s="59">
        <v>2356</v>
      </c>
      <c r="B25" s="63" t="s">
        <v>18</v>
      </c>
      <c r="C25" s="85">
        <f>_xlfn.XLOOKUP($A25,'Change in Proportion Calc'!$A$5:$A$311,'Change in Proportion Calc'!L$5:L$311,,0,)</f>
        <v>5350</v>
      </c>
      <c r="D25" s="85">
        <f>_xlfn.XLOOKUP($A25,'Change in Proportion Calc'!$A$5:$A$311,'Change in Proportion Calc'!M$5:M$311,,0,)</f>
        <v>5350</v>
      </c>
      <c r="E25" s="85">
        <f>_xlfn.XLOOKUP($A25,'Change in Proportion Calc'!$A$5:$A$311,'Change in Proportion Calc'!N$5:N$311,,0,)</f>
        <v>5350</v>
      </c>
      <c r="F25" s="85">
        <f>_xlfn.XLOOKUP($A25,'Change in Proportion Calc'!$A$5:$A$311,'Change in Proportion Calc'!O$5:O$311,,0,)</f>
        <v>5350</v>
      </c>
      <c r="G25" s="85">
        <f>_xlfn.XLOOKUP($A25,'Change in Proportion Calc'!$A$5:$A$311,'Change in Proportion Calc'!P$5:P$311,,0,)</f>
        <v>4973</v>
      </c>
      <c r="H25" s="228"/>
      <c r="I25" s="85">
        <v>6973</v>
      </c>
      <c r="J25" s="85">
        <v>6973</v>
      </c>
      <c r="K25" s="85">
        <v>6973</v>
      </c>
      <c r="L25" s="85">
        <v>6973</v>
      </c>
      <c r="M25" s="85">
        <v>6065</v>
      </c>
      <c r="N25" s="85"/>
      <c r="O25" s="85">
        <v>12379</v>
      </c>
      <c r="P25" s="85">
        <v>12379</v>
      </c>
      <c r="Q25" s="85">
        <v>12379</v>
      </c>
      <c r="R25" s="85">
        <v>11015</v>
      </c>
      <c r="S25" s="228"/>
      <c r="T25" s="85">
        <v>1296</v>
      </c>
      <c r="U25" s="85">
        <v>1296</v>
      </c>
      <c r="V25" s="85">
        <v>1269</v>
      </c>
      <c r="W25" s="228"/>
      <c r="X25" s="243">
        <v>12279</v>
      </c>
      <c r="Y25" s="244">
        <v>12035</v>
      </c>
      <c r="Z25" s="62"/>
      <c r="AA25" s="141">
        <v>53153</v>
      </c>
      <c r="AD25" s="244">
        <f>VLOOKUP(A25,'Change in Proportion Calc'!$A$5:$H$311,8,FALSE)+SUMIF($C$5:$AB$5,2025,C25:AB25)</f>
        <v>91430</v>
      </c>
      <c r="AF25" s="243">
        <f t="shared" si="0"/>
        <v>103730</v>
      </c>
      <c r="AG25" s="243">
        <f t="shared" si="1"/>
        <v>0</v>
      </c>
      <c r="AI25" s="243">
        <f>VLOOKUP(A25,'OPEB Amounts_Report'!$A$10:$G$324,7,FALSE)</f>
        <v>103730</v>
      </c>
      <c r="AJ25" s="244">
        <f t="shared" si="2"/>
        <v>0</v>
      </c>
      <c r="AK25" s="244"/>
      <c r="AL25" s="354">
        <f t="shared" si="3"/>
        <v>2356</v>
      </c>
      <c r="AM25" s="243">
        <f t="shared" si="4"/>
        <v>38033</v>
      </c>
      <c r="AN25" s="243">
        <f t="shared" si="5"/>
        <v>25971</v>
      </c>
      <c r="AO25" s="243">
        <f t="shared" si="6"/>
        <v>23338</v>
      </c>
      <c r="AP25" s="243">
        <f t="shared" si="7"/>
        <v>11415</v>
      </c>
      <c r="AQ25" s="243">
        <f t="shared" si="8"/>
        <v>4973</v>
      </c>
    </row>
    <row r="26" spans="1:43">
      <c r="A26" s="61">
        <v>7335</v>
      </c>
      <c r="B26" s="62" t="s">
        <v>19</v>
      </c>
      <c r="C26" s="85">
        <f>_xlfn.XLOOKUP($A26,'Change in Proportion Calc'!$A$5:$A$311,'Change in Proportion Calc'!L$5:L$311,,0,)</f>
        <v>-21376</v>
      </c>
      <c r="D26" s="85">
        <f>_xlfn.XLOOKUP($A26,'Change in Proportion Calc'!$A$5:$A$311,'Change in Proportion Calc'!M$5:M$311,,0,)</f>
        <v>-21376</v>
      </c>
      <c r="E26" s="85">
        <f>_xlfn.XLOOKUP($A26,'Change in Proportion Calc'!$A$5:$A$311,'Change in Proportion Calc'!N$5:N$311,,0,)</f>
        <v>-21376</v>
      </c>
      <c r="F26" s="85">
        <f>_xlfn.XLOOKUP($A26,'Change in Proportion Calc'!$A$5:$A$311,'Change in Proportion Calc'!O$5:O$311,,0,)</f>
        <v>-21376</v>
      </c>
      <c r="G26" s="85">
        <f>_xlfn.XLOOKUP($A26,'Change in Proportion Calc'!$A$5:$A$311,'Change in Proportion Calc'!P$5:P$311,,0,)</f>
        <v>-19880</v>
      </c>
      <c r="H26" s="228"/>
      <c r="I26" s="85">
        <v>-39006</v>
      </c>
      <c r="J26" s="85">
        <v>-39006</v>
      </c>
      <c r="K26" s="85">
        <v>-39006</v>
      </c>
      <c r="L26" s="85">
        <v>-39006</v>
      </c>
      <c r="M26" s="85">
        <v>-33933</v>
      </c>
      <c r="N26" s="85"/>
      <c r="O26" s="85">
        <v>38706</v>
      </c>
      <c r="P26" s="85">
        <v>38706</v>
      </c>
      <c r="Q26" s="85">
        <v>38706</v>
      </c>
      <c r="R26" s="85">
        <v>34446</v>
      </c>
      <c r="S26" s="228"/>
      <c r="T26" s="85">
        <v>-10610</v>
      </c>
      <c r="U26" s="85">
        <v>-10610</v>
      </c>
      <c r="V26" s="85">
        <v>-10396</v>
      </c>
      <c r="W26" s="228"/>
      <c r="X26" s="243">
        <v>-9961</v>
      </c>
      <c r="Y26" s="244">
        <v>-9761</v>
      </c>
      <c r="Z26" s="62"/>
      <c r="AA26" s="141">
        <v>3042</v>
      </c>
      <c r="AD26" s="244">
        <f>VLOOKUP(A26,'Change in Proportion Calc'!$A$5:$H$311,8,FALSE)+SUMIF($C$5:$AB$5,2025,C26:AB26)</f>
        <v>-39205</v>
      </c>
      <c r="AF26" s="243">
        <f t="shared" si="0"/>
        <v>111858</v>
      </c>
      <c r="AG26" s="243">
        <f t="shared" si="1"/>
        <v>287102</v>
      </c>
      <c r="AI26" s="243">
        <f>VLOOKUP(A26,'OPEB Amounts_Report'!$A$10:$G$324,7,FALSE)</f>
        <v>111858</v>
      </c>
      <c r="AJ26" s="244">
        <f t="shared" si="2"/>
        <v>0</v>
      </c>
      <c r="AK26" s="244"/>
      <c r="AL26" s="354">
        <f t="shared" si="3"/>
        <v>7335</v>
      </c>
      <c r="AM26" s="243">
        <f t="shared" si="4"/>
        <v>-42047</v>
      </c>
      <c r="AN26" s="243">
        <f t="shared" si="5"/>
        <v>-32072</v>
      </c>
      <c r="AO26" s="243">
        <f t="shared" si="6"/>
        <v>-25936</v>
      </c>
      <c r="AP26" s="243">
        <f t="shared" si="7"/>
        <v>-55309</v>
      </c>
      <c r="AQ26" s="243">
        <f t="shared" si="8"/>
        <v>-19880</v>
      </c>
    </row>
    <row r="27" spans="1:43">
      <c r="A27" s="59">
        <v>575</v>
      </c>
      <c r="B27" s="63" t="s">
        <v>398</v>
      </c>
      <c r="C27" s="85">
        <f>_xlfn.XLOOKUP($A27,'Change in Proportion Calc'!$A$5:$A$311,'Change in Proportion Calc'!L$5:L$311,,0,)</f>
        <v>-2758</v>
      </c>
      <c r="D27" s="85">
        <f>_xlfn.XLOOKUP($A27,'Change in Proportion Calc'!$A$5:$A$311,'Change in Proportion Calc'!M$5:M$311,,0,)</f>
        <v>-2758</v>
      </c>
      <c r="E27" s="85">
        <f>_xlfn.XLOOKUP($A27,'Change in Proportion Calc'!$A$5:$A$311,'Change in Proportion Calc'!N$5:N$311,,0,)</f>
        <v>-2758</v>
      </c>
      <c r="F27" s="85">
        <f>_xlfn.XLOOKUP($A27,'Change in Proportion Calc'!$A$5:$A$311,'Change in Proportion Calc'!O$5:O$311,,0,)</f>
        <v>-2758</v>
      </c>
      <c r="G27" s="85">
        <f>_xlfn.XLOOKUP($A27,'Change in Proportion Calc'!$A$5:$A$311,'Change in Proportion Calc'!P$5:P$311,,0,)</f>
        <v>-2563</v>
      </c>
      <c r="H27" s="228"/>
      <c r="I27" s="85">
        <v>14146</v>
      </c>
      <c r="J27" s="85">
        <v>14146</v>
      </c>
      <c r="K27" s="85">
        <v>14146</v>
      </c>
      <c r="L27" s="85">
        <v>14146</v>
      </c>
      <c r="M27" s="85">
        <v>12305</v>
      </c>
      <c r="N27" s="85"/>
      <c r="O27" s="85">
        <v>18271</v>
      </c>
      <c r="P27" s="85">
        <v>18271</v>
      </c>
      <c r="Q27" s="85">
        <v>18271</v>
      </c>
      <c r="R27" s="85">
        <v>16259</v>
      </c>
      <c r="S27" s="228"/>
      <c r="T27" s="85">
        <v>46650</v>
      </c>
      <c r="U27" s="85">
        <v>46650</v>
      </c>
      <c r="V27" s="85">
        <v>45717</v>
      </c>
      <c r="W27" s="228"/>
      <c r="X27" s="243">
        <v>20093</v>
      </c>
      <c r="Y27" s="244">
        <v>19693</v>
      </c>
      <c r="Z27" s="62"/>
      <c r="AA27" s="141">
        <v>58986</v>
      </c>
      <c r="AD27" s="244">
        <f>VLOOKUP(A27,'Change in Proportion Calc'!$A$5:$H$311,8,FALSE)+SUMIF($C$5:$AB$5,2025,C27:AB27)</f>
        <v>155388</v>
      </c>
      <c r="AF27" s="243">
        <f t="shared" si="0"/>
        <v>219604</v>
      </c>
      <c r="AG27" s="243">
        <f t="shared" si="1"/>
        <v>13595</v>
      </c>
      <c r="AI27" s="243">
        <f>VLOOKUP(A27,'OPEB Amounts_Report'!$A$10:$G$324,7,FALSE)</f>
        <v>219604</v>
      </c>
      <c r="AJ27" s="244">
        <f t="shared" si="2"/>
        <v>0</v>
      </c>
      <c r="AK27" s="244"/>
      <c r="AL27" s="354">
        <f t="shared" si="3"/>
        <v>575</v>
      </c>
      <c r="AM27" s="243">
        <f t="shared" si="4"/>
        <v>96002</v>
      </c>
      <c r="AN27" s="243">
        <f t="shared" si="5"/>
        <v>75376</v>
      </c>
      <c r="AO27" s="243">
        <f t="shared" si="6"/>
        <v>27647</v>
      </c>
      <c r="AP27" s="243">
        <f t="shared" si="7"/>
        <v>9547</v>
      </c>
      <c r="AQ27" s="243">
        <f t="shared" si="8"/>
        <v>-2563</v>
      </c>
    </row>
    <row r="28" spans="1:43">
      <c r="A28" s="61">
        <v>2303</v>
      </c>
      <c r="B28" s="62" t="s">
        <v>20</v>
      </c>
      <c r="C28" s="85">
        <f>_xlfn.XLOOKUP($A28,'Change in Proportion Calc'!$A$5:$A$311,'Change in Proportion Calc'!L$5:L$311,,0,)</f>
        <v>-29080</v>
      </c>
      <c r="D28" s="85">
        <f>_xlfn.XLOOKUP($A28,'Change in Proportion Calc'!$A$5:$A$311,'Change in Proportion Calc'!M$5:M$311,,0,)</f>
        <v>-29080</v>
      </c>
      <c r="E28" s="85">
        <f>_xlfn.XLOOKUP($A28,'Change in Proportion Calc'!$A$5:$A$311,'Change in Proportion Calc'!N$5:N$311,,0,)</f>
        <v>-29080</v>
      </c>
      <c r="F28" s="85">
        <f>_xlfn.XLOOKUP($A28,'Change in Proportion Calc'!$A$5:$A$311,'Change in Proportion Calc'!O$5:O$311,,0,)</f>
        <v>-29080</v>
      </c>
      <c r="G28" s="85">
        <f>_xlfn.XLOOKUP($A28,'Change in Proportion Calc'!$A$5:$A$311,'Change in Proportion Calc'!P$5:P$311,,0,)</f>
        <v>-27044</v>
      </c>
      <c r="H28" s="228"/>
      <c r="I28" s="85">
        <v>7183</v>
      </c>
      <c r="J28" s="85">
        <v>7183</v>
      </c>
      <c r="K28" s="85">
        <v>7183</v>
      </c>
      <c r="L28" s="85">
        <v>7183</v>
      </c>
      <c r="M28" s="85">
        <v>6247</v>
      </c>
      <c r="N28" s="85"/>
      <c r="O28" s="85">
        <v>-18712</v>
      </c>
      <c r="P28" s="85">
        <v>-18712</v>
      </c>
      <c r="Q28" s="85">
        <v>-18712</v>
      </c>
      <c r="R28" s="85">
        <v>-16655</v>
      </c>
      <c r="S28" s="228"/>
      <c r="T28" s="85">
        <v>-13930</v>
      </c>
      <c r="U28" s="85">
        <v>-13930</v>
      </c>
      <c r="V28" s="85">
        <v>-13653</v>
      </c>
      <c r="W28" s="228"/>
      <c r="X28" s="243">
        <v>-20952</v>
      </c>
      <c r="Y28" s="244">
        <v>-20533</v>
      </c>
      <c r="Z28" s="62"/>
      <c r="AA28" s="141">
        <v>-26515</v>
      </c>
      <c r="AD28" s="244">
        <f>VLOOKUP(A28,'Change in Proportion Calc'!$A$5:$H$311,8,FALSE)+SUMIF($C$5:$AB$5,2025,C28:AB28)</f>
        <v>-102006</v>
      </c>
      <c r="AF28" s="243">
        <f t="shared" si="0"/>
        <v>27796</v>
      </c>
      <c r="AG28" s="243">
        <f t="shared" si="1"/>
        <v>245559</v>
      </c>
      <c r="AI28" s="243">
        <f>VLOOKUP(A28,'OPEB Amounts_Report'!$A$10:$G$324,7,FALSE)</f>
        <v>27796</v>
      </c>
      <c r="AJ28" s="244">
        <f t="shared" si="2"/>
        <v>0</v>
      </c>
      <c r="AK28" s="244"/>
      <c r="AL28" s="354">
        <f t="shared" si="3"/>
        <v>2303</v>
      </c>
      <c r="AM28" s="243">
        <f t="shared" si="4"/>
        <v>-75072</v>
      </c>
      <c r="AN28" s="243">
        <f t="shared" si="5"/>
        <v>-54262</v>
      </c>
      <c r="AO28" s="243">
        <f t="shared" si="6"/>
        <v>-38552</v>
      </c>
      <c r="AP28" s="243">
        <f t="shared" si="7"/>
        <v>-22833</v>
      </c>
      <c r="AQ28" s="243">
        <f t="shared" si="8"/>
        <v>-27044</v>
      </c>
    </row>
    <row r="29" spans="1:43">
      <c r="A29" s="59">
        <v>20316</v>
      </c>
      <c r="B29" s="63" t="s">
        <v>21</v>
      </c>
      <c r="C29" s="85">
        <f>_xlfn.XLOOKUP($A29,'Change in Proportion Calc'!$A$5:$A$311,'Change in Proportion Calc'!L$5:L$311,,0,)</f>
        <v>-4031</v>
      </c>
      <c r="D29" s="85">
        <f>_xlfn.XLOOKUP($A29,'Change in Proportion Calc'!$A$5:$A$311,'Change in Proportion Calc'!M$5:M$311,,0,)</f>
        <v>-4031</v>
      </c>
      <c r="E29" s="85">
        <f>_xlfn.XLOOKUP($A29,'Change in Proportion Calc'!$A$5:$A$311,'Change in Proportion Calc'!N$5:N$311,,0,)</f>
        <v>-4031</v>
      </c>
      <c r="F29" s="85">
        <f>_xlfn.XLOOKUP($A29,'Change in Proportion Calc'!$A$5:$A$311,'Change in Proportion Calc'!O$5:O$311,,0,)</f>
        <v>-4031</v>
      </c>
      <c r="G29" s="85">
        <f>_xlfn.XLOOKUP($A29,'Change in Proportion Calc'!$A$5:$A$311,'Change in Proportion Calc'!P$5:P$311,,0,)</f>
        <v>-3751</v>
      </c>
      <c r="H29" s="228"/>
      <c r="I29" s="85">
        <v>6431</v>
      </c>
      <c r="J29" s="85">
        <v>6431</v>
      </c>
      <c r="K29" s="85">
        <v>6431</v>
      </c>
      <c r="L29" s="85">
        <v>6431</v>
      </c>
      <c r="M29" s="85">
        <v>5593</v>
      </c>
      <c r="N29" s="85"/>
      <c r="O29" s="85">
        <v>24609</v>
      </c>
      <c r="P29" s="85">
        <v>24609</v>
      </c>
      <c r="Q29" s="85">
        <v>24609</v>
      </c>
      <c r="R29" s="85">
        <v>21904</v>
      </c>
      <c r="S29" s="228"/>
      <c r="T29" s="85">
        <v>13930</v>
      </c>
      <c r="U29" s="85">
        <v>13930</v>
      </c>
      <c r="V29" s="85">
        <v>13653</v>
      </c>
      <c r="W29" s="228"/>
      <c r="X29" s="243">
        <v>2318</v>
      </c>
      <c r="Y29" s="244">
        <v>2274</v>
      </c>
      <c r="Z29" s="62"/>
      <c r="AA29" s="141">
        <v>435</v>
      </c>
      <c r="AD29" s="244">
        <f>VLOOKUP(A29,'Change in Proportion Calc'!$A$5:$H$311,8,FALSE)+SUMIF($C$5:$AB$5,2025,C29:AB29)</f>
        <v>43692</v>
      </c>
      <c r="AF29" s="243">
        <f t="shared" si="0"/>
        <v>125865</v>
      </c>
      <c r="AG29" s="243">
        <f t="shared" si="1"/>
        <v>19875</v>
      </c>
      <c r="AI29" s="243">
        <f>VLOOKUP(A29,'OPEB Amounts_Report'!$A$10:$G$324,7,FALSE)</f>
        <v>125865</v>
      </c>
      <c r="AJ29" s="244">
        <f t="shared" si="2"/>
        <v>0</v>
      </c>
      <c r="AK29" s="244"/>
      <c r="AL29" s="354">
        <f t="shared" si="3"/>
        <v>20316</v>
      </c>
      <c r="AM29" s="243">
        <f t="shared" si="4"/>
        <v>43213</v>
      </c>
      <c r="AN29" s="243">
        <f t="shared" si="5"/>
        <v>40662</v>
      </c>
      <c r="AO29" s="243">
        <f t="shared" si="6"/>
        <v>24304</v>
      </c>
      <c r="AP29" s="243">
        <f t="shared" si="7"/>
        <v>1562</v>
      </c>
      <c r="AQ29" s="243">
        <f t="shared" si="8"/>
        <v>-3751</v>
      </c>
    </row>
    <row r="30" spans="1:43">
      <c r="A30" s="61">
        <v>23121</v>
      </c>
      <c r="B30" s="62" t="s">
        <v>22</v>
      </c>
      <c r="C30" s="85">
        <f>_xlfn.XLOOKUP($A30,'Change in Proportion Calc'!$A$5:$A$311,'Change in Proportion Calc'!L$5:L$311,,0,)</f>
        <v>7999</v>
      </c>
      <c r="D30" s="85">
        <f>_xlfn.XLOOKUP($A30,'Change in Proportion Calc'!$A$5:$A$311,'Change in Proportion Calc'!M$5:M$311,,0,)</f>
        <v>7999</v>
      </c>
      <c r="E30" s="85">
        <f>_xlfn.XLOOKUP($A30,'Change in Proportion Calc'!$A$5:$A$311,'Change in Proportion Calc'!N$5:N$311,,0,)</f>
        <v>7999</v>
      </c>
      <c r="F30" s="85">
        <f>_xlfn.XLOOKUP($A30,'Change in Proportion Calc'!$A$5:$A$311,'Change in Proportion Calc'!O$5:O$311,,0,)</f>
        <v>7999</v>
      </c>
      <c r="G30" s="85">
        <f>_xlfn.XLOOKUP($A30,'Change in Proportion Calc'!$A$5:$A$311,'Change in Proportion Calc'!P$5:P$311,,0,)</f>
        <v>7440</v>
      </c>
      <c r="H30" s="228"/>
      <c r="I30" s="85">
        <v>1808</v>
      </c>
      <c r="J30" s="85">
        <v>1808</v>
      </c>
      <c r="K30" s="85">
        <v>1808</v>
      </c>
      <c r="L30" s="85">
        <v>1808</v>
      </c>
      <c r="M30" s="85">
        <v>1575</v>
      </c>
      <c r="N30" s="85"/>
      <c r="O30" s="85">
        <v>19730</v>
      </c>
      <c r="P30" s="85">
        <v>19730</v>
      </c>
      <c r="Q30" s="85">
        <v>19730</v>
      </c>
      <c r="R30" s="85">
        <v>17558</v>
      </c>
      <c r="S30" s="228"/>
      <c r="T30" s="85">
        <v>-18870</v>
      </c>
      <c r="U30" s="85">
        <v>-18870</v>
      </c>
      <c r="V30" s="85">
        <v>-18495</v>
      </c>
      <c r="W30" s="228"/>
      <c r="X30" s="243">
        <v>-11077</v>
      </c>
      <c r="Y30" s="244">
        <v>-10856</v>
      </c>
      <c r="Z30" s="62"/>
      <c r="AA30" s="141">
        <v>-14963</v>
      </c>
      <c r="AD30" s="244">
        <f>VLOOKUP(A30,'Change in Proportion Calc'!$A$5:$H$311,8,FALSE)+SUMIF($C$5:$AB$5,2025,C30:AB30)</f>
        <v>-15373</v>
      </c>
      <c r="AF30" s="243">
        <f t="shared" si="0"/>
        <v>103453</v>
      </c>
      <c r="AG30" s="243">
        <f t="shared" si="1"/>
        <v>48221</v>
      </c>
      <c r="AI30" s="243">
        <f>VLOOKUP(A30,'OPEB Amounts_Report'!$A$10:$G$324,7,FALSE)</f>
        <v>103453</v>
      </c>
      <c r="AJ30" s="244">
        <f t="shared" si="2"/>
        <v>0</v>
      </c>
      <c r="AK30" s="244"/>
      <c r="AL30" s="354">
        <f t="shared" si="3"/>
        <v>23121</v>
      </c>
      <c r="AM30" s="243">
        <f t="shared" si="4"/>
        <v>-189</v>
      </c>
      <c r="AN30" s="243">
        <f t="shared" si="5"/>
        <v>11042</v>
      </c>
      <c r="AO30" s="243">
        <f t="shared" si="6"/>
        <v>27365</v>
      </c>
      <c r="AP30" s="243">
        <f t="shared" si="7"/>
        <v>9574</v>
      </c>
      <c r="AQ30" s="243">
        <f t="shared" si="8"/>
        <v>7440</v>
      </c>
    </row>
    <row r="31" spans="1:43">
      <c r="A31" s="59">
        <v>3004</v>
      </c>
      <c r="B31" s="63" t="s">
        <v>23</v>
      </c>
      <c r="C31" s="85">
        <f>_xlfn.XLOOKUP($A31,'Change in Proportion Calc'!$A$5:$A$311,'Change in Proportion Calc'!L$5:L$311,,0,)</f>
        <v>-106009</v>
      </c>
      <c r="D31" s="85">
        <f>_xlfn.XLOOKUP($A31,'Change in Proportion Calc'!$A$5:$A$311,'Change in Proportion Calc'!M$5:M$311,,0,)</f>
        <v>-106009</v>
      </c>
      <c r="E31" s="85">
        <f>_xlfn.XLOOKUP($A31,'Change in Proportion Calc'!$A$5:$A$311,'Change in Proportion Calc'!N$5:N$311,,0,)</f>
        <v>-106009</v>
      </c>
      <c r="F31" s="85">
        <f>_xlfn.XLOOKUP($A31,'Change in Proportion Calc'!$A$5:$A$311,'Change in Proportion Calc'!O$5:O$311,,0,)</f>
        <v>-106009</v>
      </c>
      <c r="G31" s="85">
        <f>_xlfn.XLOOKUP($A31,'Change in Proportion Calc'!$A$5:$A$311,'Change in Proportion Calc'!P$5:P$311,,0,)</f>
        <v>-98590</v>
      </c>
      <c r="H31" s="228"/>
      <c r="I31" s="85">
        <v>90959</v>
      </c>
      <c r="J31" s="85">
        <v>90959</v>
      </c>
      <c r="K31" s="85">
        <v>90959</v>
      </c>
      <c r="L31" s="85">
        <v>90959</v>
      </c>
      <c r="M31" s="85">
        <v>79136</v>
      </c>
      <c r="N31" s="85"/>
      <c r="O31" s="85">
        <v>-108283</v>
      </c>
      <c r="P31" s="85">
        <v>-108283</v>
      </c>
      <c r="Q31" s="85">
        <v>-108283</v>
      </c>
      <c r="R31" s="85">
        <v>-96374</v>
      </c>
      <c r="S31" s="228"/>
      <c r="T31" s="85">
        <v>89332</v>
      </c>
      <c r="U31" s="85">
        <v>89332</v>
      </c>
      <c r="V31" s="85">
        <v>87543</v>
      </c>
      <c r="W31" s="228"/>
      <c r="X31" s="243">
        <v>-62942</v>
      </c>
      <c r="Y31" s="244">
        <v>-61683</v>
      </c>
      <c r="Z31" s="62"/>
      <c r="AA31" s="141">
        <v>-25955</v>
      </c>
      <c r="AD31" s="244">
        <f>VLOOKUP(A31,'Change in Proportion Calc'!$A$5:$H$311,8,FALSE)+SUMIF($C$5:$AB$5,2025,C31:AB31)</f>
        <v>-122898</v>
      </c>
      <c r="AF31" s="243">
        <f t="shared" si="0"/>
        <v>528888</v>
      </c>
      <c r="AG31" s="243">
        <f t="shared" si="1"/>
        <v>897249</v>
      </c>
      <c r="AI31" s="243">
        <f>VLOOKUP(A31,'OPEB Amounts_Report'!$A$10:$G$324,7,FALSE)</f>
        <v>528888</v>
      </c>
      <c r="AJ31" s="244">
        <f t="shared" si="2"/>
        <v>0</v>
      </c>
      <c r="AK31" s="244"/>
      <c r="AL31" s="354">
        <f t="shared" si="3"/>
        <v>3004</v>
      </c>
      <c r="AM31" s="243">
        <f t="shared" si="4"/>
        <v>-95684</v>
      </c>
      <c r="AN31" s="243">
        <f t="shared" si="5"/>
        <v>-35790</v>
      </c>
      <c r="AO31" s="243">
        <f t="shared" si="6"/>
        <v>-111424</v>
      </c>
      <c r="AP31" s="243">
        <f t="shared" si="7"/>
        <v>-26873</v>
      </c>
      <c r="AQ31" s="243">
        <f t="shared" si="8"/>
        <v>-98590</v>
      </c>
    </row>
    <row r="32" spans="1:43">
      <c r="A32" s="61">
        <v>16050</v>
      </c>
      <c r="B32" s="62" t="s">
        <v>24</v>
      </c>
      <c r="C32" s="85">
        <f>_xlfn.XLOOKUP($A32,'Change in Proportion Calc'!$A$5:$A$311,'Change in Proportion Calc'!L$5:L$311,,0,)</f>
        <v>-115964</v>
      </c>
      <c r="D32" s="85">
        <f>_xlfn.XLOOKUP($A32,'Change in Proportion Calc'!$A$5:$A$311,'Change in Proportion Calc'!M$5:M$311,,0,)</f>
        <v>-115964</v>
      </c>
      <c r="E32" s="85">
        <f>_xlfn.XLOOKUP($A32,'Change in Proportion Calc'!$A$5:$A$311,'Change in Proportion Calc'!N$5:N$311,,0,)</f>
        <v>-115964</v>
      </c>
      <c r="F32" s="85">
        <f>_xlfn.XLOOKUP($A32,'Change in Proportion Calc'!$A$5:$A$311,'Change in Proportion Calc'!O$5:O$311,,0,)</f>
        <v>-115964</v>
      </c>
      <c r="G32" s="85">
        <f>_xlfn.XLOOKUP($A32,'Change in Proportion Calc'!$A$5:$A$311,'Change in Proportion Calc'!P$5:P$311,,0,)</f>
        <v>-107847</v>
      </c>
      <c r="H32" s="228"/>
      <c r="I32" s="85">
        <v>17634</v>
      </c>
      <c r="J32" s="85">
        <v>17634</v>
      </c>
      <c r="K32" s="85">
        <v>17634</v>
      </c>
      <c r="L32" s="85">
        <v>17634</v>
      </c>
      <c r="M32" s="85">
        <v>15340</v>
      </c>
      <c r="N32" s="85"/>
      <c r="O32" s="85">
        <v>-57260</v>
      </c>
      <c r="P32" s="85">
        <v>-57260</v>
      </c>
      <c r="Q32" s="85">
        <v>-57260</v>
      </c>
      <c r="R32" s="85">
        <v>-50962</v>
      </c>
      <c r="S32" s="228"/>
      <c r="T32" s="85">
        <v>59041</v>
      </c>
      <c r="U32" s="85">
        <v>59041</v>
      </c>
      <c r="V32" s="85">
        <v>57862</v>
      </c>
      <c r="W32" s="228"/>
      <c r="X32" s="243">
        <v>24730</v>
      </c>
      <c r="Y32" s="244">
        <v>24237</v>
      </c>
      <c r="Z32" s="62"/>
      <c r="AA32" s="141">
        <v>-40296</v>
      </c>
      <c r="AD32" s="244">
        <f>VLOOKUP(A32,'Change in Proportion Calc'!$A$5:$H$311,8,FALSE)+SUMIF($C$5:$AB$5,2025,C32:AB32)</f>
        <v>-112115</v>
      </c>
      <c r="AF32" s="243">
        <f t="shared" si="0"/>
        <v>209382</v>
      </c>
      <c r="AG32" s="243">
        <f t="shared" si="1"/>
        <v>737185</v>
      </c>
      <c r="AI32" s="243">
        <f>VLOOKUP(A32,'OPEB Amounts_Report'!$A$10:$G$324,7,FALSE)</f>
        <v>209382</v>
      </c>
      <c r="AJ32" s="244">
        <f t="shared" si="2"/>
        <v>0</v>
      </c>
      <c r="AK32" s="244"/>
      <c r="AL32" s="354">
        <f t="shared" si="3"/>
        <v>16050</v>
      </c>
      <c r="AM32" s="243">
        <f t="shared" si="4"/>
        <v>-72312</v>
      </c>
      <c r="AN32" s="243">
        <f t="shared" si="5"/>
        <v>-97728</v>
      </c>
      <c r="AO32" s="243">
        <f t="shared" si="6"/>
        <v>-149292</v>
      </c>
      <c r="AP32" s="243">
        <f t="shared" si="7"/>
        <v>-100624</v>
      </c>
      <c r="AQ32" s="243">
        <f t="shared" si="8"/>
        <v>-107847</v>
      </c>
    </row>
    <row r="33" spans="1:43">
      <c r="A33" s="59">
        <v>14043</v>
      </c>
      <c r="B33" s="63" t="s">
        <v>25</v>
      </c>
      <c r="C33" s="85">
        <f>_xlfn.XLOOKUP($A33,'Change in Proportion Calc'!$A$5:$A$311,'Change in Proportion Calc'!L$5:L$311,,0,)</f>
        <v>-114521</v>
      </c>
      <c r="D33" s="85">
        <f>_xlfn.XLOOKUP($A33,'Change in Proportion Calc'!$A$5:$A$311,'Change in Proportion Calc'!M$5:M$311,,0,)</f>
        <v>-114521</v>
      </c>
      <c r="E33" s="85">
        <f>_xlfn.XLOOKUP($A33,'Change in Proportion Calc'!$A$5:$A$311,'Change in Proportion Calc'!N$5:N$311,,0,)</f>
        <v>-114521</v>
      </c>
      <c r="F33" s="85">
        <f>_xlfn.XLOOKUP($A33,'Change in Proportion Calc'!$A$5:$A$311,'Change in Proportion Calc'!O$5:O$311,,0,)</f>
        <v>-114521</v>
      </c>
      <c r="G33" s="85">
        <f>_xlfn.XLOOKUP($A33,'Change in Proportion Calc'!$A$5:$A$311,'Change in Proportion Calc'!P$5:P$311,,0,)</f>
        <v>-106507</v>
      </c>
      <c r="H33" s="228"/>
      <c r="I33" s="85">
        <v>119749</v>
      </c>
      <c r="J33" s="85">
        <v>119749</v>
      </c>
      <c r="K33" s="85">
        <v>119749</v>
      </c>
      <c r="L33" s="85">
        <v>119749</v>
      </c>
      <c r="M33" s="85">
        <v>104180</v>
      </c>
      <c r="N33" s="85"/>
      <c r="O33" s="85">
        <v>95839</v>
      </c>
      <c r="P33" s="85">
        <v>95839</v>
      </c>
      <c r="Q33" s="85">
        <v>95839</v>
      </c>
      <c r="R33" s="85">
        <v>85299</v>
      </c>
      <c r="S33" s="228"/>
      <c r="T33" s="85">
        <v>-96863</v>
      </c>
      <c r="U33" s="85">
        <v>-96863</v>
      </c>
      <c r="V33" s="85">
        <v>-94928</v>
      </c>
      <c r="W33" s="228"/>
      <c r="X33" s="243">
        <v>-380143</v>
      </c>
      <c r="Y33" s="244">
        <v>-372538</v>
      </c>
      <c r="Z33" s="62"/>
      <c r="AA33" s="141">
        <v>452964</v>
      </c>
      <c r="AD33" s="244">
        <f>VLOOKUP(A33,'Change in Proportion Calc'!$A$5:$H$311,8,FALSE)+SUMIF($C$5:$AB$5,2025,C33:AB33)</f>
        <v>77025</v>
      </c>
      <c r="AF33" s="243">
        <f t="shared" si="0"/>
        <v>740404</v>
      </c>
      <c r="AG33" s="243">
        <f t="shared" si="1"/>
        <v>1128920</v>
      </c>
      <c r="AI33" s="243">
        <f>VLOOKUP(A33,'OPEB Amounts_Report'!$A$10:$G$324,7,FALSE)</f>
        <v>740404</v>
      </c>
      <c r="AJ33" s="244">
        <f t="shared" si="2"/>
        <v>0</v>
      </c>
      <c r="AK33" s="244"/>
      <c r="AL33" s="354">
        <f t="shared" si="3"/>
        <v>14043</v>
      </c>
      <c r="AM33" s="243">
        <f t="shared" si="4"/>
        <v>-368334</v>
      </c>
      <c r="AN33" s="243">
        <f t="shared" si="5"/>
        <v>6139</v>
      </c>
      <c r="AO33" s="243">
        <f t="shared" si="6"/>
        <v>90527</v>
      </c>
      <c r="AP33" s="243">
        <f t="shared" si="7"/>
        <v>-10341</v>
      </c>
      <c r="AQ33" s="243">
        <f t="shared" si="8"/>
        <v>-106507</v>
      </c>
    </row>
    <row r="34" spans="1:43">
      <c r="A34" s="61">
        <v>3010</v>
      </c>
      <c r="B34" s="62" t="s">
        <v>26</v>
      </c>
      <c r="C34" s="85">
        <f>_xlfn.XLOOKUP($A34,'Change in Proportion Calc'!$A$5:$A$311,'Change in Proportion Calc'!L$5:L$311,,0,)</f>
        <v>813464</v>
      </c>
      <c r="D34" s="85">
        <f>_xlfn.XLOOKUP($A34,'Change in Proportion Calc'!$A$5:$A$311,'Change in Proportion Calc'!M$5:M$311,,0,)</f>
        <v>813464</v>
      </c>
      <c r="E34" s="85">
        <f>_xlfn.XLOOKUP($A34,'Change in Proportion Calc'!$A$5:$A$311,'Change in Proportion Calc'!N$5:N$311,,0,)</f>
        <v>813464</v>
      </c>
      <c r="F34" s="85">
        <f>_xlfn.XLOOKUP($A34,'Change in Proportion Calc'!$A$5:$A$311,'Change in Proportion Calc'!O$5:O$311,,0,)</f>
        <v>813464</v>
      </c>
      <c r="G34" s="85">
        <f>_xlfn.XLOOKUP($A34,'Change in Proportion Calc'!$A$5:$A$311,'Change in Proportion Calc'!P$5:P$311,,0,)</f>
        <v>756524</v>
      </c>
      <c r="H34" s="228"/>
      <c r="I34" s="85">
        <v>-483080</v>
      </c>
      <c r="J34" s="85">
        <v>-483080</v>
      </c>
      <c r="K34" s="85">
        <v>-483080</v>
      </c>
      <c r="L34" s="85">
        <v>-483080</v>
      </c>
      <c r="M34" s="85">
        <v>-420280</v>
      </c>
      <c r="N34" s="85"/>
      <c r="O34" s="85">
        <v>-646844</v>
      </c>
      <c r="P34" s="85">
        <v>-646844</v>
      </c>
      <c r="Q34" s="85">
        <v>-646844</v>
      </c>
      <c r="R34" s="85">
        <v>-575689</v>
      </c>
      <c r="S34" s="228"/>
      <c r="T34" s="85">
        <v>312700</v>
      </c>
      <c r="U34" s="85">
        <v>312700</v>
      </c>
      <c r="V34" s="85">
        <v>306448</v>
      </c>
      <c r="W34" s="228"/>
      <c r="X34" s="243">
        <v>-766210</v>
      </c>
      <c r="Y34" s="244">
        <v>-750885</v>
      </c>
      <c r="Z34" s="62"/>
      <c r="AA34" s="141">
        <v>419929</v>
      </c>
      <c r="AD34" s="244">
        <f>VLOOKUP(A34,'Change in Proportion Calc'!$A$5:$H$311,8,FALSE)+SUMIF($C$5:$AB$5,2025,C34:AB34)</f>
        <v>-350041</v>
      </c>
      <c r="AF34" s="243">
        <f t="shared" si="0"/>
        <v>4629528</v>
      </c>
      <c r="AG34" s="243">
        <f t="shared" si="1"/>
        <v>4489782</v>
      </c>
      <c r="AI34" s="243">
        <f>VLOOKUP(A34,'OPEB Amounts_Report'!$A$10:$G$324,7,FALSE)</f>
        <v>4629528</v>
      </c>
      <c r="AJ34" s="244">
        <f t="shared" si="2"/>
        <v>0</v>
      </c>
      <c r="AK34" s="244"/>
      <c r="AL34" s="354">
        <f t="shared" si="3"/>
        <v>3010</v>
      </c>
      <c r="AM34" s="243">
        <f t="shared" si="4"/>
        <v>-754645</v>
      </c>
      <c r="AN34" s="243">
        <f t="shared" si="5"/>
        <v>-10012</v>
      </c>
      <c r="AO34" s="243">
        <f t="shared" si="6"/>
        <v>-245305</v>
      </c>
      <c r="AP34" s="243">
        <f t="shared" si="7"/>
        <v>393184</v>
      </c>
      <c r="AQ34" s="243">
        <f t="shared" si="8"/>
        <v>756524</v>
      </c>
    </row>
    <row r="35" spans="1:43">
      <c r="A35" s="59">
        <v>29086</v>
      </c>
      <c r="B35" s="63" t="s">
        <v>27</v>
      </c>
      <c r="C35" s="85">
        <f>_xlfn.XLOOKUP($A35,'Change in Proportion Calc'!$A$5:$A$311,'Change in Proportion Calc'!L$5:L$311,,0,)</f>
        <v>-50628</v>
      </c>
      <c r="D35" s="85">
        <f>_xlfn.XLOOKUP($A35,'Change in Proportion Calc'!$A$5:$A$311,'Change in Proportion Calc'!M$5:M$311,,0,)</f>
        <v>-50628</v>
      </c>
      <c r="E35" s="85">
        <f>_xlfn.XLOOKUP($A35,'Change in Proportion Calc'!$A$5:$A$311,'Change in Proportion Calc'!N$5:N$311,,0,)</f>
        <v>-50628</v>
      </c>
      <c r="F35" s="85">
        <f>_xlfn.XLOOKUP($A35,'Change in Proportion Calc'!$A$5:$A$311,'Change in Proportion Calc'!O$5:O$311,,0,)</f>
        <v>-50628</v>
      </c>
      <c r="G35" s="85">
        <f>_xlfn.XLOOKUP($A35,'Change in Proportion Calc'!$A$5:$A$311,'Change in Proportion Calc'!P$5:P$311,,0,)</f>
        <v>-47086</v>
      </c>
      <c r="H35" s="228"/>
      <c r="I35" s="85">
        <v>761830</v>
      </c>
      <c r="J35" s="85">
        <v>761830</v>
      </c>
      <c r="K35" s="85">
        <v>761830</v>
      </c>
      <c r="L35" s="85">
        <v>761830</v>
      </c>
      <c r="M35" s="85">
        <v>662790</v>
      </c>
      <c r="N35" s="85"/>
      <c r="O35" s="85">
        <v>-36093</v>
      </c>
      <c r="P35" s="85">
        <v>-36093</v>
      </c>
      <c r="Q35" s="85">
        <v>-36093</v>
      </c>
      <c r="R35" s="85">
        <v>-32123</v>
      </c>
      <c r="S35" s="228"/>
      <c r="T35" s="85">
        <v>-159387</v>
      </c>
      <c r="U35" s="85">
        <v>-159387</v>
      </c>
      <c r="V35" s="85">
        <v>-156201</v>
      </c>
      <c r="W35" s="228"/>
      <c r="X35" s="243">
        <v>65690</v>
      </c>
      <c r="Y35" s="244">
        <v>64375</v>
      </c>
      <c r="Z35" s="62"/>
      <c r="AA35" s="141">
        <v>74698</v>
      </c>
      <c r="AD35" s="244">
        <f>VLOOKUP(A35,'Change in Proportion Calc'!$A$5:$H$311,8,FALSE)+SUMIF($C$5:$AB$5,2025,C35:AB35)</f>
        <v>656110</v>
      </c>
      <c r="AF35" s="243">
        <f t="shared" si="0"/>
        <v>3012655</v>
      </c>
      <c r="AG35" s="243">
        <f t="shared" si="1"/>
        <v>669495</v>
      </c>
      <c r="AI35" s="243">
        <f>VLOOKUP(A35,'OPEB Amounts_Report'!$A$10:$G$324,7,FALSE)</f>
        <v>3012655</v>
      </c>
      <c r="AJ35" s="244">
        <f t="shared" si="2"/>
        <v>0</v>
      </c>
      <c r="AK35" s="244"/>
      <c r="AL35" s="354">
        <f t="shared" si="3"/>
        <v>29086</v>
      </c>
      <c r="AM35" s="243">
        <f t="shared" si="4"/>
        <v>580097</v>
      </c>
      <c r="AN35" s="243">
        <f t="shared" si="5"/>
        <v>518908</v>
      </c>
      <c r="AO35" s="243">
        <f t="shared" si="6"/>
        <v>679079</v>
      </c>
      <c r="AP35" s="243">
        <f t="shared" si="7"/>
        <v>612162</v>
      </c>
      <c r="AQ35" s="243">
        <f t="shared" si="8"/>
        <v>-47086</v>
      </c>
    </row>
    <row r="36" spans="1:43">
      <c r="A36" s="61">
        <v>16051</v>
      </c>
      <c r="B36" s="62" t="s">
        <v>28</v>
      </c>
      <c r="C36" s="85">
        <f>_xlfn.XLOOKUP($A36,'Change in Proportion Calc'!$A$5:$A$311,'Change in Proportion Calc'!L$5:L$311,,0,)</f>
        <v>-60926</v>
      </c>
      <c r="D36" s="85">
        <f>_xlfn.XLOOKUP($A36,'Change in Proportion Calc'!$A$5:$A$311,'Change in Proportion Calc'!M$5:M$311,,0,)</f>
        <v>-60926</v>
      </c>
      <c r="E36" s="85">
        <f>_xlfn.XLOOKUP($A36,'Change in Proportion Calc'!$A$5:$A$311,'Change in Proportion Calc'!N$5:N$311,,0,)</f>
        <v>-60926</v>
      </c>
      <c r="F36" s="85">
        <f>_xlfn.XLOOKUP($A36,'Change in Proportion Calc'!$A$5:$A$311,'Change in Proportion Calc'!O$5:O$311,,0,)</f>
        <v>-60926</v>
      </c>
      <c r="G36" s="85">
        <f>_xlfn.XLOOKUP($A36,'Change in Proportion Calc'!$A$5:$A$311,'Change in Proportion Calc'!P$5:P$311,,0,)</f>
        <v>-56662</v>
      </c>
      <c r="H36" s="228"/>
      <c r="I36" s="85">
        <v>119466</v>
      </c>
      <c r="J36" s="85">
        <v>119466</v>
      </c>
      <c r="K36" s="85">
        <v>119466</v>
      </c>
      <c r="L36" s="85">
        <v>119466</v>
      </c>
      <c r="M36" s="85">
        <v>103934</v>
      </c>
      <c r="N36" s="85"/>
      <c r="O36" s="85">
        <v>-93870</v>
      </c>
      <c r="P36" s="85">
        <v>-93870</v>
      </c>
      <c r="Q36" s="85">
        <v>-93870</v>
      </c>
      <c r="R36" s="85">
        <v>-83543</v>
      </c>
      <c r="S36" s="228"/>
      <c r="T36" s="85">
        <v>4536</v>
      </c>
      <c r="U36" s="85">
        <v>4536</v>
      </c>
      <c r="V36" s="85">
        <v>4443</v>
      </c>
      <c r="W36" s="228"/>
      <c r="X36" s="243">
        <v>83465</v>
      </c>
      <c r="Y36" s="244">
        <v>81794</v>
      </c>
      <c r="Z36" s="62"/>
      <c r="AA36" s="141">
        <v>5214</v>
      </c>
      <c r="AD36" s="244">
        <f>VLOOKUP(A36,'Change in Proportion Calc'!$A$5:$H$311,8,FALSE)+SUMIF($C$5:$AB$5,2025,C36:AB36)</f>
        <v>57885</v>
      </c>
      <c r="AF36" s="243">
        <f t="shared" si="0"/>
        <v>553105</v>
      </c>
      <c r="AG36" s="243">
        <f t="shared" si="1"/>
        <v>571649</v>
      </c>
      <c r="AI36" s="243">
        <f>VLOOKUP(A36,'OPEB Amounts_Report'!$A$10:$G$324,7,FALSE)</f>
        <v>553105</v>
      </c>
      <c r="AJ36" s="244">
        <f t="shared" si="2"/>
        <v>0</v>
      </c>
      <c r="AK36" s="244"/>
      <c r="AL36" s="354">
        <f t="shared" si="3"/>
        <v>16051</v>
      </c>
      <c r="AM36" s="243">
        <f t="shared" si="4"/>
        <v>51000</v>
      </c>
      <c r="AN36" s="243">
        <f t="shared" si="5"/>
        <v>-30887</v>
      </c>
      <c r="AO36" s="243">
        <f t="shared" si="6"/>
        <v>-25003</v>
      </c>
      <c r="AP36" s="243">
        <f t="shared" si="7"/>
        <v>43008</v>
      </c>
      <c r="AQ36" s="243">
        <f t="shared" si="8"/>
        <v>-56662</v>
      </c>
    </row>
    <row r="37" spans="1:43">
      <c r="A37" s="59">
        <v>26077</v>
      </c>
      <c r="B37" s="63" t="s">
        <v>29</v>
      </c>
      <c r="C37" s="85">
        <f>_xlfn.XLOOKUP($A37,'Change in Proportion Calc'!$A$5:$A$311,'Change in Proportion Calc'!L$5:L$311,,0,)</f>
        <v>13738</v>
      </c>
      <c r="D37" s="85">
        <f>_xlfn.XLOOKUP($A37,'Change in Proportion Calc'!$A$5:$A$311,'Change in Proportion Calc'!M$5:M$311,,0,)</f>
        <v>13738</v>
      </c>
      <c r="E37" s="85">
        <f>_xlfn.XLOOKUP($A37,'Change in Proportion Calc'!$A$5:$A$311,'Change in Proportion Calc'!N$5:N$311,,0,)</f>
        <v>13738</v>
      </c>
      <c r="F37" s="85">
        <f>_xlfn.XLOOKUP($A37,'Change in Proportion Calc'!$A$5:$A$311,'Change in Proportion Calc'!O$5:O$311,,0,)</f>
        <v>13738</v>
      </c>
      <c r="G37" s="85">
        <f>_xlfn.XLOOKUP($A37,'Change in Proportion Calc'!$A$5:$A$311,'Change in Proportion Calc'!P$5:P$311,,0,)</f>
        <v>12777</v>
      </c>
      <c r="H37" s="228"/>
      <c r="I37" s="85">
        <v>7498</v>
      </c>
      <c r="J37" s="85">
        <v>7498</v>
      </c>
      <c r="K37" s="85">
        <v>7498</v>
      </c>
      <c r="L37" s="85">
        <v>7498</v>
      </c>
      <c r="M37" s="85">
        <v>6521</v>
      </c>
      <c r="N37" s="85"/>
      <c r="O37" s="85">
        <v>11433</v>
      </c>
      <c r="P37" s="85">
        <v>11433</v>
      </c>
      <c r="Q37" s="85">
        <v>11433</v>
      </c>
      <c r="R37" s="85">
        <v>10177</v>
      </c>
      <c r="S37" s="228"/>
      <c r="T37" s="85">
        <v>-12877</v>
      </c>
      <c r="U37" s="85">
        <v>-12877</v>
      </c>
      <c r="V37" s="85">
        <v>-12621</v>
      </c>
      <c r="W37" s="228"/>
      <c r="X37" s="243">
        <v>7986</v>
      </c>
      <c r="Y37" s="244">
        <v>7825</v>
      </c>
      <c r="Z37" s="62"/>
      <c r="AA37" s="141">
        <v>2172</v>
      </c>
      <c r="AD37" s="244">
        <f>VLOOKUP(A37,'Change in Proportion Calc'!$A$5:$H$311,8,FALSE)+SUMIF($C$5:$AB$5,2025,C37:AB37)</f>
        <v>29950</v>
      </c>
      <c r="AF37" s="243">
        <f t="shared" si="0"/>
        <v>137612</v>
      </c>
      <c r="AG37" s="243">
        <f t="shared" si="1"/>
        <v>25498</v>
      </c>
      <c r="AI37" s="243">
        <f>VLOOKUP(A37,'OPEB Amounts_Report'!$A$10:$G$324,7,FALSE)</f>
        <v>137612</v>
      </c>
      <c r="AJ37" s="244">
        <f t="shared" si="2"/>
        <v>0</v>
      </c>
      <c r="AK37" s="244"/>
      <c r="AL37" s="354">
        <f t="shared" si="3"/>
        <v>26077</v>
      </c>
      <c r="AM37" s="243">
        <f t="shared" si="4"/>
        <v>27617</v>
      </c>
      <c r="AN37" s="243">
        <f t="shared" si="5"/>
        <v>20048</v>
      </c>
      <c r="AO37" s="243">
        <f t="shared" si="6"/>
        <v>31413</v>
      </c>
      <c r="AP37" s="243">
        <f t="shared" si="7"/>
        <v>20259</v>
      </c>
      <c r="AQ37" s="243">
        <f t="shared" si="8"/>
        <v>12777</v>
      </c>
    </row>
    <row r="38" spans="1:43">
      <c r="A38" s="61">
        <v>3005</v>
      </c>
      <c r="B38" s="62" t="s">
        <v>30</v>
      </c>
      <c r="C38" s="85">
        <f>_xlfn.XLOOKUP($A38,'Change in Proportion Calc'!$A$5:$A$311,'Change in Proportion Calc'!L$5:L$311,,0,)</f>
        <v>223517</v>
      </c>
      <c r="D38" s="85">
        <f>_xlfn.XLOOKUP($A38,'Change in Proportion Calc'!$A$5:$A$311,'Change in Proportion Calc'!M$5:M$311,,0,)</f>
        <v>223517</v>
      </c>
      <c r="E38" s="85">
        <f>_xlfn.XLOOKUP($A38,'Change in Proportion Calc'!$A$5:$A$311,'Change in Proportion Calc'!N$5:N$311,,0,)</f>
        <v>223517</v>
      </c>
      <c r="F38" s="85">
        <f>_xlfn.XLOOKUP($A38,'Change in Proportion Calc'!$A$5:$A$311,'Change in Proportion Calc'!O$5:O$311,,0,)</f>
        <v>223517</v>
      </c>
      <c r="G38" s="85">
        <f>_xlfn.XLOOKUP($A38,'Change in Proportion Calc'!$A$5:$A$311,'Change in Proportion Calc'!P$5:P$311,,0,)</f>
        <v>207868</v>
      </c>
      <c r="H38" s="228"/>
      <c r="I38" s="85">
        <v>441047</v>
      </c>
      <c r="J38" s="85">
        <v>441047</v>
      </c>
      <c r="K38" s="85">
        <v>441047</v>
      </c>
      <c r="L38" s="85">
        <v>441047</v>
      </c>
      <c r="M38" s="85">
        <v>383713</v>
      </c>
      <c r="N38" s="85"/>
      <c r="O38" s="85">
        <v>153487</v>
      </c>
      <c r="P38" s="85">
        <v>153487</v>
      </c>
      <c r="Q38" s="85">
        <v>153487</v>
      </c>
      <c r="R38" s="85">
        <v>136601</v>
      </c>
      <c r="S38" s="228"/>
      <c r="T38" s="85">
        <v>-140841</v>
      </c>
      <c r="U38" s="85">
        <v>-140841</v>
      </c>
      <c r="V38" s="85">
        <v>-138022</v>
      </c>
      <c r="W38" s="228"/>
      <c r="X38" s="243">
        <v>-489282</v>
      </c>
      <c r="Y38" s="244">
        <v>-479496</v>
      </c>
      <c r="Z38" s="62"/>
      <c r="AA38" s="141">
        <v>-38995</v>
      </c>
      <c r="AD38" s="244">
        <f>VLOOKUP(A38,'Change in Proportion Calc'!$A$5:$H$311,8,FALSE)+SUMIF($C$5:$AB$5,2025,C38:AB38)</f>
        <v>148933</v>
      </c>
      <c r="AF38" s="243">
        <f t="shared" si="0"/>
        <v>3252365</v>
      </c>
      <c r="AG38" s="243">
        <f t="shared" si="1"/>
        <v>758359</v>
      </c>
      <c r="AI38" s="243">
        <f>VLOOKUP(A38,'OPEB Amounts_Report'!$A$10:$G$324,7,FALSE)</f>
        <v>3252365</v>
      </c>
      <c r="AJ38" s="244">
        <f t="shared" si="2"/>
        <v>0</v>
      </c>
      <c r="AK38" s="244"/>
      <c r="AL38" s="354">
        <f t="shared" si="3"/>
        <v>3005</v>
      </c>
      <c r="AM38" s="243">
        <f t="shared" si="4"/>
        <v>197714</v>
      </c>
      <c r="AN38" s="243">
        <f t="shared" si="5"/>
        <v>680029</v>
      </c>
      <c r="AO38" s="243">
        <f t="shared" si="6"/>
        <v>801165</v>
      </c>
      <c r="AP38" s="243">
        <f t="shared" si="7"/>
        <v>607230</v>
      </c>
      <c r="AQ38" s="243">
        <f t="shared" si="8"/>
        <v>207868</v>
      </c>
    </row>
    <row r="39" spans="1:43">
      <c r="A39" s="59">
        <v>26078</v>
      </c>
      <c r="B39" s="63" t="s">
        <v>31</v>
      </c>
      <c r="C39" s="85">
        <f>_xlfn.XLOOKUP($A39,'Change in Proportion Calc'!$A$5:$A$311,'Change in Proportion Calc'!L$5:L$311,,0,)</f>
        <v>-6746</v>
      </c>
      <c r="D39" s="85">
        <f>_xlfn.XLOOKUP($A39,'Change in Proportion Calc'!$A$5:$A$311,'Change in Proportion Calc'!M$5:M$311,,0,)</f>
        <v>-6746</v>
      </c>
      <c r="E39" s="85">
        <f>_xlfn.XLOOKUP($A39,'Change in Proportion Calc'!$A$5:$A$311,'Change in Proportion Calc'!N$5:N$311,,0,)</f>
        <v>-6746</v>
      </c>
      <c r="F39" s="85">
        <f>_xlfn.XLOOKUP($A39,'Change in Proportion Calc'!$A$5:$A$311,'Change in Proportion Calc'!O$5:O$311,,0,)</f>
        <v>-6746</v>
      </c>
      <c r="G39" s="85">
        <f>_xlfn.XLOOKUP($A39,'Change in Proportion Calc'!$A$5:$A$311,'Change in Proportion Calc'!P$5:P$311,,0,)</f>
        <v>-6272</v>
      </c>
      <c r="H39" s="228"/>
      <c r="I39" s="85">
        <v>16496</v>
      </c>
      <c r="J39" s="85">
        <v>16496</v>
      </c>
      <c r="K39" s="85">
        <v>16496</v>
      </c>
      <c r="L39" s="85">
        <v>16496</v>
      </c>
      <c r="M39" s="85">
        <v>14352</v>
      </c>
      <c r="N39" s="85"/>
      <c r="O39" s="85">
        <v>-10519</v>
      </c>
      <c r="P39" s="85">
        <v>-10519</v>
      </c>
      <c r="Q39" s="85">
        <v>-10519</v>
      </c>
      <c r="R39" s="85">
        <v>-9364</v>
      </c>
      <c r="S39" s="228"/>
      <c r="T39" s="85">
        <v>-10529</v>
      </c>
      <c r="U39" s="85">
        <v>-10529</v>
      </c>
      <c r="V39" s="85">
        <v>-10316</v>
      </c>
      <c r="W39" s="228"/>
      <c r="X39" s="243">
        <v>16229</v>
      </c>
      <c r="Y39" s="244">
        <v>15906</v>
      </c>
      <c r="Z39" s="62"/>
      <c r="AA39" s="141">
        <v>-4593</v>
      </c>
      <c r="AD39" s="244">
        <f>VLOOKUP(A39,'Change in Proportion Calc'!$A$5:$H$311,8,FALSE)+SUMIF($C$5:$AB$5,2025,C39:AB39)</f>
        <v>338</v>
      </c>
      <c r="AF39" s="243">
        <f t="shared" si="0"/>
        <v>79746</v>
      </c>
      <c r="AG39" s="243">
        <f t="shared" si="1"/>
        <v>84503</v>
      </c>
      <c r="AI39" s="243">
        <f>VLOOKUP(A39,'OPEB Amounts_Report'!$A$10:$G$324,7,FALSE)</f>
        <v>79746</v>
      </c>
      <c r="AJ39" s="244">
        <f t="shared" si="2"/>
        <v>0</v>
      </c>
      <c r="AK39" s="244"/>
      <c r="AL39" s="354">
        <f t="shared" si="3"/>
        <v>26078</v>
      </c>
      <c r="AM39" s="243">
        <f t="shared" si="4"/>
        <v>4608</v>
      </c>
      <c r="AN39" s="243">
        <f t="shared" si="5"/>
        <v>-11085</v>
      </c>
      <c r="AO39" s="243">
        <f t="shared" si="6"/>
        <v>386</v>
      </c>
      <c r="AP39" s="243">
        <f t="shared" si="7"/>
        <v>7606</v>
      </c>
      <c r="AQ39" s="243">
        <f t="shared" si="8"/>
        <v>-6272</v>
      </c>
    </row>
    <row r="40" spans="1:43">
      <c r="A40" s="61">
        <v>16053</v>
      </c>
      <c r="B40" s="62" t="s">
        <v>32</v>
      </c>
      <c r="C40" s="85">
        <f>_xlfn.XLOOKUP($A40,'Change in Proportion Calc'!$A$5:$A$311,'Change in Proportion Calc'!L$5:L$311,,0,)</f>
        <v>-443520</v>
      </c>
      <c r="D40" s="85">
        <f>_xlfn.XLOOKUP($A40,'Change in Proportion Calc'!$A$5:$A$311,'Change in Proportion Calc'!M$5:M$311,,0,)</f>
        <v>-443520</v>
      </c>
      <c r="E40" s="85">
        <f>_xlfn.XLOOKUP($A40,'Change in Proportion Calc'!$A$5:$A$311,'Change in Proportion Calc'!N$5:N$311,,0,)</f>
        <v>-443520</v>
      </c>
      <c r="F40" s="85">
        <f>_xlfn.XLOOKUP($A40,'Change in Proportion Calc'!$A$5:$A$311,'Change in Proportion Calc'!O$5:O$311,,0,)</f>
        <v>-443520</v>
      </c>
      <c r="G40" s="85">
        <f>_xlfn.XLOOKUP($A40,'Change in Proportion Calc'!$A$5:$A$311,'Change in Proportion Calc'!P$5:P$311,,0,)</f>
        <v>-412472</v>
      </c>
      <c r="H40" s="228"/>
      <c r="I40" s="85">
        <v>689084</v>
      </c>
      <c r="J40" s="85">
        <v>689084</v>
      </c>
      <c r="K40" s="85">
        <v>689084</v>
      </c>
      <c r="L40" s="85">
        <v>689084</v>
      </c>
      <c r="M40" s="85">
        <v>599505</v>
      </c>
      <c r="N40" s="85"/>
      <c r="O40" s="85">
        <v>-132561</v>
      </c>
      <c r="P40" s="85">
        <v>-132561</v>
      </c>
      <c r="Q40" s="85">
        <v>-132561</v>
      </c>
      <c r="R40" s="85">
        <v>-117981</v>
      </c>
      <c r="S40" s="228"/>
      <c r="T40" s="85">
        <v>326954</v>
      </c>
      <c r="U40" s="85">
        <v>326954</v>
      </c>
      <c r="V40" s="85">
        <v>320417</v>
      </c>
      <c r="W40" s="228"/>
      <c r="X40" s="243">
        <v>-181527</v>
      </c>
      <c r="Y40" s="244">
        <v>-177898</v>
      </c>
      <c r="Z40" s="62"/>
      <c r="AA40" s="141">
        <v>20865</v>
      </c>
      <c r="AD40" s="244">
        <f>VLOOKUP(A40,'Change in Proportion Calc'!$A$5:$H$311,8,FALSE)+SUMIF($C$5:$AB$5,2025,C40:AB40)</f>
        <v>279295</v>
      </c>
      <c r="AF40" s="243">
        <f t="shared" si="0"/>
        <v>3314128</v>
      </c>
      <c r="AG40" s="243">
        <f t="shared" si="1"/>
        <v>2747553</v>
      </c>
      <c r="AI40" s="243">
        <f>VLOOKUP(A40,'OPEB Amounts_Report'!$A$10:$G$324,7,FALSE)</f>
        <v>3314128</v>
      </c>
      <c r="AJ40" s="244">
        <f t="shared" si="2"/>
        <v>0</v>
      </c>
      <c r="AK40" s="244"/>
      <c r="AL40" s="354">
        <f t="shared" si="3"/>
        <v>16053</v>
      </c>
      <c r="AM40" s="243">
        <f t="shared" si="4"/>
        <v>262059</v>
      </c>
      <c r="AN40" s="243">
        <f t="shared" si="5"/>
        <v>433420</v>
      </c>
      <c r="AO40" s="243">
        <f t="shared" si="6"/>
        <v>127583</v>
      </c>
      <c r="AP40" s="243">
        <f t="shared" si="7"/>
        <v>155985</v>
      </c>
      <c r="AQ40" s="243">
        <f t="shared" si="8"/>
        <v>-412472</v>
      </c>
    </row>
    <row r="41" spans="1:43">
      <c r="A41" s="59">
        <v>2123</v>
      </c>
      <c r="B41" s="63" t="s">
        <v>33</v>
      </c>
      <c r="C41" s="85">
        <f>_xlfn.XLOOKUP($A41,'Change in Proportion Calc'!$A$5:$A$311,'Change in Proportion Calc'!L$5:L$311,,0,)</f>
        <v>565782</v>
      </c>
      <c r="D41" s="85">
        <f>_xlfn.XLOOKUP($A41,'Change in Proportion Calc'!$A$5:$A$311,'Change in Proportion Calc'!M$5:M$311,,0,)</f>
        <v>565782</v>
      </c>
      <c r="E41" s="85">
        <f>_xlfn.XLOOKUP($A41,'Change in Proportion Calc'!$A$5:$A$311,'Change in Proportion Calc'!N$5:N$311,,0,)</f>
        <v>565782</v>
      </c>
      <c r="F41" s="85">
        <f>_xlfn.XLOOKUP($A41,'Change in Proportion Calc'!$A$5:$A$311,'Change in Proportion Calc'!O$5:O$311,,0,)</f>
        <v>565782</v>
      </c>
      <c r="G41" s="85">
        <f>_xlfn.XLOOKUP($A41,'Change in Proportion Calc'!$A$5:$A$311,'Change in Proportion Calc'!P$5:P$311,,0,)</f>
        <v>526175</v>
      </c>
      <c r="H41" s="228"/>
      <c r="I41" s="85">
        <v>-1778499</v>
      </c>
      <c r="J41" s="85">
        <v>-1778499</v>
      </c>
      <c r="K41" s="85">
        <v>-1778499</v>
      </c>
      <c r="L41" s="85">
        <v>-1778499</v>
      </c>
      <c r="M41" s="85">
        <v>-1547294</v>
      </c>
      <c r="N41" s="85"/>
      <c r="O41" s="85">
        <v>640744</v>
      </c>
      <c r="P41" s="85">
        <v>640744</v>
      </c>
      <c r="Q41" s="85">
        <v>640744</v>
      </c>
      <c r="R41" s="85">
        <v>570262</v>
      </c>
      <c r="S41" s="228"/>
      <c r="T41" s="85">
        <v>-252363</v>
      </c>
      <c r="U41" s="85">
        <v>-252363</v>
      </c>
      <c r="V41" s="85">
        <v>-247317</v>
      </c>
      <c r="W41" s="228"/>
      <c r="X41" s="243">
        <v>749981</v>
      </c>
      <c r="Y41" s="244">
        <v>734979</v>
      </c>
      <c r="Z41" s="62"/>
      <c r="AA41" s="141">
        <v>-1309402</v>
      </c>
      <c r="AD41" s="244">
        <f>VLOOKUP(A41,'Change in Proportion Calc'!$A$5:$H$311,8,FALSE)+SUMIF($C$5:$AB$5,2025,C41:AB41)</f>
        <v>-1383757</v>
      </c>
      <c r="AF41" s="243">
        <f t="shared" si="0"/>
        <v>5376032</v>
      </c>
      <c r="AG41" s="243">
        <f t="shared" si="1"/>
        <v>7382471</v>
      </c>
      <c r="AI41" s="243">
        <f>VLOOKUP(A41,'OPEB Amounts_Report'!$A$10:$G$324,7,FALSE)</f>
        <v>5376032</v>
      </c>
      <c r="AJ41" s="244">
        <f t="shared" si="2"/>
        <v>0</v>
      </c>
      <c r="AK41" s="244"/>
      <c r="AL41" s="354">
        <f t="shared" si="3"/>
        <v>2123</v>
      </c>
      <c r="AM41" s="243">
        <f t="shared" si="4"/>
        <v>-89357</v>
      </c>
      <c r="AN41" s="243">
        <f t="shared" si="5"/>
        <v>-819290</v>
      </c>
      <c r="AO41" s="243">
        <f t="shared" si="6"/>
        <v>-642455</v>
      </c>
      <c r="AP41" s="243">
        <f t="shared" si="7"/>
        <v>-981512</v>
      </c>
      <c r="AQ41" s="243">
        <f t="shared" si="8"/>
        <v>526175</v>
      </c>
    </row>
    <row r="42" spans="1:43">
      <c r="A42" s="61">
        <v>2150</v>
      </c>
      <c r="B42" s="62" t="s">
        <v>34</v>
      </c>
      <c r="C42" s="85">
        <f>_xlfn.XLOOKUP($A42,'Change in Proportion Calc'!$A$5:$A$311,'Change in Proportion Calc'!L$5:L$311,,0,)</f>
        <v>164394</v>
      </c>
      <c r="D42" s="85">
        <f>_xlfn.XLOOKUP($A42,'Change in Proportion Calc'!$A$5:$A$311,'Change in Proportion Calc'!M$5:M$311,,0,)</f>
        <v>164394</v>
      </c>
      <c r="E42" s="85">
        <f>_xlfn.XLOOKUP($A42,'Change in Proportion Calc'!$A$5:$A$311,'Change in Proportion Calc'!N$5:N$311,,0,)</f>
        <v>164394</v>
      </c>
      <c r="F42" s="85">
        <f>_xlfn.XLOOKUP($A42,'Change in Proportion Calc'!$A$5:$A$311,'Change in Proportion Calc'!O$5:O$311,,0,)</f>
        <v>164394</v>
      </c>
      <c r="G42" s="85">
        <f>_xlfn.XLOOKUP($A42,'Change in Proportion Calc'!$A$5:$A$311,'Change in Proportion Calc'!P$5:P$311,,0,)</f>
        <v>152884</v>
      </c>
      <c r="H42" s="228"/>
      <c r="I42" s="85">
        <v>161660</v>
      </c>
      <c r="J42" s="85">
        <v>161660</v>
      </c>
      <c r="K42" s="85">
        <v>161660</v>
      </c>
      <c r="L42" s="85">
        <v>161660</v>
      </c>
      <c r="M42" s="85">
        <v>140646</v>
      </c>
      <c r="N42" s="85"/>
      <c r="O42" s="85">
        <v>-19733</v>
      </c>
      <c r="P42" s="85">
        <v>-19733</v>
      </c>
      <c r="Q42" s="85">
        <v>-19733</v>
      </c>
      <c r="R42" s="85">
        <v>-17561</v>
      </c>
      <c r="S42" s="228"/>
      <c r="T42" s="85">
        <v>184170</v>
      </c>
      <c r="U42" s="85">
        <v>184170</v>
      </c>
      <c r="V42" s="85">
        <v>180487</v>
      </c>
      <c r="W42" s="228"/>
      <c r="X42" s="243">
        <v>7299</v>
      </c>
      <c r="Y42" s="244">
        <v>7152</v>
      </c>
      <c r="Z42" s="62"/>
      <c r="AA42" s="141">
        <v>3353</v>
      </c>
      <c r="AD42" s="244">
        <f>VLOOKUP(A42,'Change in Proportion Calc'!$A$5:$H$311,8,FALSE)+SUMIF($C$5:$AB$5,2025,C42:AB42)</f>
        <v>501143</v>
      </c>
      <c r="AF42" s="243">
        <f t="shared" si="0"/>
        <v>1807895</v>
      </c>
      <c r="AG42" s="243">
        <f t="shared" si="1"/>
        <v>57027</v>
      </c>
      <c r="AI42" s="243">
        <f>VLOOKUP(A42,'OPEB Amounts_Report'!$A$10:$G$324,7,FALSE)</f>
        <v>1807895</v>
      </c>
      <c r="AJ42" s="244">
        <f t="shared" si="2"/>
        <v>0</v>
      </c>
      <c r="AK42" s="244"/>
      <c r="AL42" s="354">
        <f t="shared" si="3"/>
        <v>2150</v>
      </c>
      <c r="AM42" s="243">
        <f t="shared" si="4"/>
        <v>497643</v>
      </c>
      <c r="AN42" s="243">
        <f t="shared" si="5"/>
        <v>486808</v>
      </c>
      <c r="AO42" s="243">
        <f t="shared" si="6"/>
        <v>308493</v>
      </c>
      <c r="AP42" s="243">
        <f t="shared" si="7"/>
        <v>305040</v>
      </c>
      <c r="AQ42" s="243">
        <f t="shared" si="8"/>
        <v>152884</v>
      </c>
    </row>
    <row r="43" spans="1:43">
      <c r="A43" s="59">
        <v>2336</v>
      </c>
      <c r="B43" s="63" t="s">
        <v>35</v>
      </c>
      <c r="C43" s="85">
        <f>_xlfn.XLOOKUP($A43,'Change in Proportion Calc'!$A$5:$A$311,'Change in Proportion Calc'!L$5:L$311,,0,)</f>
        <v>-909</v>
      </c>
      <c r="D43" s="85">
        <f>_xlfn.XLOOKUP($A43,'Change in Proportion Calc'!$A$5:$A$311,'Change in Proportion Calc'!M$5:M$311,,0,)</f>
        <v>-909</v>
      </c>
      <c r="E43" s="85">
        <f>_xlfn.XLOOKUP($A43,'Change in Proportion Calc'!$A$5:$A$311,'Change in Proportion Calc'!N$5:N$311,,0,)</f>
        <v>-909</v>
      </c>
      <c r="F43" s="85">
        <f>_xlfn.XLOOKUP($A43,'Change in Proportion Calc'!$A$5:$A$311,'Change in Proportion Calc'!O$5:O$311,,0,)</f>
        <v>-909</v>
      </c>
      <c r="G43" s="85">
        <f>_xlfn.XLOOKUP($A43,'Change in Proportion Calc'!$A$5:$A$311,'Change in Proportion Calc'!P$5:P$311,,0,)</f>
        <v>-845</v>
      </c>
      <c r="H43" s="228"/>
      <c r="I43" s="85">
        <v>13130</v>
      </c>
      <c r="J43" s="85">
        <v>13130</v>
      </c>
      <c r="K43" s="85">
        <v>13130</v>
      </c>
      <c r="L43" s="85">
        <v>13130</v>
      </c>
      <c r="M43" s="85">
        <v>11425</v>
      </c>
      <c r="N43" s="85"/>
      <c r="O43" s="85">
        <v>-3759</v>
      </c>
      <c r="P43" s="85">
        <v>-3759</v>
      </c>
      <c r="Q43" s="85">
        <v>-3759</v>
      </c>
      <c r="R43" s="85">
        <v>-3346</v>
      </c>
      <c r="S43" s="228"/>
      <c r="T43" s="85">
        <v>-13039</v>
      </c>
      <c r="U43" s="85">
        <v>-13039</v>
      </c>
      <c r="V43" s="85">
        <v>-12780</v>
      </c>
      <c r="W43" s="228"/>
      <c r="X43" s="243">
        <v>7556</v>
      </c>
      <c r="Y43" s="244">
        <v>7407</v>
      </c>
      <c r="Z43" s="62"/>
      <c r="AA43" s="141">
        <v>17201</v>
      </c>
      <c r="AD43" s="244">
        <f>VLOOKUP(A43,'Change in Proportion Calc'!$A$5:$H$311,8,FALSE)+SUMIF($C$5:$AB$5,2025,C43:AB43)</f>
        <v>20180</v>
      </c>
      <c r="AF43" s="243">
        <f t="shared" si="0"/>
        <v>58222</v>
      </c>
      <c r="AG43" s="243">
        <f t="shared" si="1"/>
        <v>41164</v>
      </c>
      <c r="AI43" s="243">
        <f>VLOOKUP(A43,'OPEB Amounts_Report'!$A$10:$G$324,7,FALSE)</f>
        <v>58222</v>
      </c>
      <c r="AJ43" s="244">
        <f t="shared" si="2"/>
        <v>0</v>
      </c>
      <c r="AK43" s="244"/>
      <c r="AL43" s="354">
        <f t="shared" si="3"/>
        <v>2336</v>
      </c>
      <c r="AM43" s="243">
        <f t="shared" si="4"/>
        <v>2830</v>
      </c>
      <c r="AN43" s="243">
        <f t="shared" si="5"/>
        <v>-4318</v>
      </c>
      <c r="AO43" s="243">
        <f t="shared" si="6"/>
        <v>8875</v>
      </c>
      <c r="AP43" s="243">
        <f t="shared" si="7"/>
        <v>10516</v>
      </c>
      <c r="AQ43" s="243">
        <f t="shared" si="8"/>
        <v>-845</v>
      </c>
    </row>
    <row r="44" spans="1:43">
      <c r="A44" s="61">
        <v>17126</v>
      </c>
      <c r="B44" s="62" t="s">
        <v>36</v>
      </c>
      <c r="C44" s="85">
        <f>_xlfn.XLOOKUP($A44,'Change in Proportion Calc'!$A$5:$A$311,'Change in Proportion Calc'!L$5:L$311,,0,)</f>
        <v>-24485</v>
      </c>
      <c r="D44" s="85">
        <f>_xlfn.XLOOKUP($A44,'Change in Proportion Calc'!$A$5:$A$311,'Change in Proportion Calc'!M$5:M$311,,0,)</f>
        <v>-24485</v>
      </c>
      <c r="E44" s="85">
        <f>_xlfn.XLOOKUP($A44,'Change in Proportion Calc'!$A$5:$A$311,'Change in Proportion Calc'!N$5:N$311,,0,)</f>
        <v>-24485</v>
      </c>
      <c r="F44" s="85">
        <f>_xlfn.XLOOKUP($A44,'Change in Proportion Calc'!$A$5:$A$311,'Change in Proportion Calc'!O$5:O$311,,0,)</f>
        <v>-24485</v>
      </c>
      <c r="G44" s="85">
        <f>_xlfn.XLOOKUP($A44,'Change in Proportion Calc'!$A$5:$A$311,'Change in Proportion Calc'!P$5:P$311,,0,)</f>
        <v>-22774</v>
      </c>
      <c r="H44" s="228"/>
      <c r="I44" s="85">
        <v>32312</v>
      </c>
      <c r="J44" s="85">
        <v>32312</v>
      </c>
      <c r="K44" s="85">
        <v>32312</v>
      </c>
      <c r="L44" s="85">
        <v>32312</v>
      </c>
      <c r="M44" s="85">
        <v>28113</v>
      </c>
      <c r="N44" s="85"/>
      <c r="O44" s="85">
        <v>2435</v>
      </c>
      <c r="P44" s="85">
        <v>2435</v>
      </c>
      <c r="Q44" s="85">
        <v>2435</v>
      </c>
      <c r="R44" s="85">
        <v>2165</v>
      </c>
      <c r="S44" s="228"/>
      <c r="T44" s="85">
        <v>-28022</v>
      </c>
      <c r="U44" s="85">
        <v>-28022</v>
      </c>
      <c r="V44" s="85">
        <v>-27464</v>
      </c>
      <c r="W44" s="228"/>
      <c r="X44" s="243">
        <v>21725</v>
      </c>
      <c r="Y44" s="244">
        <v>21290</v>
      </c>
      <c r="Z44" s="62"/>
      <c r="AA44" s="141">
        <v>-15584</v>
      </c>
      <c r="AD44" s="244">
        <f>VLOOKUP(A44,'Change in Proportion Calc'!$A$5:$H$311,8,FALSE)+SUMIF($C$5:$AB$5,2025,C44:AB44)</f>
        <v>-11619</v>
      </c>
      <c r="AF44" s="243">
        <f t="shared" si="0"/>
        <v>153374</v>
      </c>
      <c r="AG44" s="243">
        <f t="shared" si="1"/>
        <v>176200</v>
      </c>
      <c r="AI44" s="243">
        <f>VLOOKUP(A44,'OPEB Amounts_Report'!$A$10:$G$324,7,FALSE)</f>
        <v>153374</v>
      </c>
      <c r="AJ44" s="244">
        <f>+AF44-AI44</f>
        <v>0</v>
      </c>
      <c r="AK44" s="244"/>
      <c r="AL44" s="354">
        <f t="shared" si="3"/>
        <v>17126</v>
      </c>
      <c r="AM44" s="243">
        <f t="shared" si="4"/>
        <v>3530</v>
      </c>
      <c r="AN44" s="243">
        <f t="shared" si="5"/>
        <v>-17202</v>
      </c>
      <c r="AO44" s="243">
        <f t="shared" si="6"/>
        <v>9992</v>
      </c>
      <c r="AP44" s="243">
        <f t="shared" si="7"/>
        <v>3628</v>
      </c>
      <c r="AQ44" s="243">
        <f t="shared" si="8"/>
        <v>-22774</v>
      </c>
    </row>
    <row r="45" spans="1:43">
      <c r="A45" s="59">
        <v>3030</v>
      </c>
      <c r="B45" s="63" t="s">
        <v>37</v>
      </c>
      <c r="C45" s="85">
        <f>_xlfn.XLOOKUP($A45,'Change in Proportion Calc'!$A$5:$A$311,'Change in Proportion Calc'!L$5:L$311,,0,)</f>
        <v>-10333</v>
      </c>
      <c r="D45" s="85">
        <f>_xlfn.XLOOKUP($A45,'Change in Proportion Calc'!$A$5:$A$311,'Change in Proportion Calc'!M$5:M$311,,0,)</f>
        <v>-10333</v>
      </c>
      <c r="E45" s="85">
        <f>_xlfn.XLOOKUP($A45,'Change in Proportion Calc'!$A$5:$A$311,'Change in Proportion Calc'!N$5:N$311,,0,)</f>
        <v>-10333</v>
      </c>
      <c r="F45" s="85">
        <f>_xlfn.XLOOKUP($A45,'Change in Proportion Calc'!$A$5:$A$311,'Change in Proportion Calc'!O$5:O$311,,0,)</f>
        <v>-10333</v>
      </c>
      <c r="G45" s="85">
        <f>_xlfn.XLOOKUP($A45,'Change in Proportion Calc'!$A$5:$A$311,'Change in Proportion Calc'!P$5:P$311,,0,)</f>
        <v>-9608</v>
      </c>
      <c r="H45" s="228"/>
      <c r="I45" s="85">
        <v>-100022</v>
      </c>
      <c r="J45" s="85">
        <v>-100022</v>
      </c>
      <c r="K45" s="85">
        <v>-100022</v>
      </c>
      <c r="L45" s="85">
        <v>-100022</v>
      </c>
      <c r="M45" s="85">
        <v>-87017</v>
      </c>
      <c r="N45" s="85"/>
      <c r="O45" s="85">
        <v>-136590</v>
      </c>
      <c r="P45" s="85">
        <v>-136590</v>
      </c>
      <c r="Q45" s="85">
        <v>-136590</v>
      </c>
      <c r="R45" s="85">
        <v>-121567</v>
      </c>
      <c r="S45" s="228"/>
      <c r="T45" s="85">
        <v>-89332</v>
      </c>
      <c r="U45" s="85">
        <v>-89332</v>
      </c>
      <c r="V45" s="85">
        <v>-87543</v>
      </c>
      <c r="W45" s="228"/>
      <c r="X45" s="243">
        <v>-65861</v>
      </c>
      <c r="Y45" s="244">
        <v>-64546</v>
      </c>
      <c r="Z45" s="62"/>
      <c r="AA45" s="141">
        <v>-25457</v>
      </c>
      <c r="AD45" s="244">
        <f>VLOOKUP(A45,'Change in Proportion Calc'!$A$5:$H$311,8,FALSE)+SUMIF($C$5:$AB$5,2025,C45:AB45)</f>
        <v>-427595</v>
      </c>
      <c r="AF45" s="243">
        <f t="shared" si="0"/>
        <v>0</v>
      </c>
      <c r="AG45" s="243">
        <f t="shared" si="1"/>
        <v>1074191</v>
      </c>
      <c r="AI45" s="243">
        <f>VLOOKUP(A45,'OPEB Amounts_Report'!$A$10:$G$324,7,FALSE)</f>
        <v>0</v>
      </c>
      <c r="AJ45" s="244">
        <f>+AF45-AI45</f>
        <v>0</v>
      </c>
      <c r="AK45" s="244"/>
      <c r="AL45" s="354">
        <f t="shared" si="3"/>
        <v>3030</v>
      </c>
      <c r="AM45" s="243">
        <f t="shared" si="4"/>
        <v>-400823</v>
      </c>
      <c r="AN45" s="243">
        <f t="shared" si="5"/>
        <v>-334488</v>
      </c>
      <c r="AO45" s="243">
        <f t="shared" si="6"/>
        <v>-231922</v>
      </c>
      <c r="AP45" s="243">
        <f t="shared" si="7"/>
        <v>-97350</v>
      </c>
      <c r="AQ45" s="243">
        <f t="shared" si="8"/>
        <v>-9608</v>
      </c>
    </row>
    <row r="46" spans="1:43">
      <c r="A46" s="61">
        <v>2353</v>
      </c>
      <c r="B46" s="62" t="s">
        <v>38</v>
      </c>
      <c r="C46" s="85">
        <f>_xlfn.XLOOKUP($A46,'Change in Proportion Calc'!$A$5:$A$311,'Change in Proportion Calc'!L$5:L$311,,0,)</f>
        <v>59134</v>
      </c>
      <c r="D46" s="85">
        <f>_xlfn.XLOOKUP($A46,'Change in Proportion Calc'!$A$5:$A$311,'Change in Proportion Calc'!M$5:M$311,,0,)</f>
        <v>59134</v>
      </c>
      <c r="E46" s="85">
        <f>_xlfn.XLOOKUP($A46,'Change in Proportion Calc'!$A$5:$A$311,'Change in Proportion Calc'!N$5:N$311,,0,)</f>
        <v>59134</v>
      </c>
      <c r="F46" s="85">
        <f>_xlfn.XLOOKUP($A46,'Change in Proportion Calc'!$A$5:$A$311,'Change in Proportion Calc'!O$5:O$311,,0,)</f>
        <v>59134</v>
      </c>
      <c r="G46" s="85">
        <f>_xlfn.XLOOKUP($A46,'Change in Proportion Calc'!$A$5:$A$311,'Change in Proportion Calc'!P$5:P$311,,0,)</f>
        <v>54994</v>
      </c>
      <c r="H46" s="228"/>
      <c r="I46" s="85">
        <v>15699</v>
      </c>
      <c r="J46" s="85">
        <v>15699</v>
      </c>
      <c r="K46" s="85">
        <v>15699</v>
      </c>
      <c r="L46" s="85">
        <v>15699</v>
      </c>
      <c r="M46" s="85">
        <v>13656</v>
      </c>
      <c r="N46" s="85"/>
      <c r="O46" s="85">
        <v>159605</v>
      </c>
      <c r="P46" s="85">
        <v>159605</v>
      </c>
      <c r="Q46" s="85">
        <v>159605</v>
      </c>
      <c r="R46" s="85">
        <v>142047</v>
      </c>
      <c r="S46" s="228"/>
      <c r="T46" s="85">
        <v>-72081</v>
      </c>
      <c r="U46" s="85">
        <v>-72081</v>
      </c>
      <c r="V46" s="85">
        <v>-70637</v>
      </c>
      <c r="W46" s="228"/>
      <c r="X46" s="243">
        <v>-1031</v>
      </c>
      <c r="Y46" s="244">
        <v>-1008</v>
      </c>
      <c r="Z46" s="62"/>
      <c r="AA46" s="141">
        <v>85065</v>
      </c>
      <c r="AD46" s="244">
        <f>VLOOKUP(A46,'Change in Proportion Calc'!$A$5:$H$311,8,FALSE)+SUMIF($C$5:$AB$5,2025,C46:AB46)</f>
        <v>246391</v>
      </c>
      <c r="AF46" s="243">
        <f t="shared" si="0"/>
        <v>813540</v>
      </c>
      <c r="AG46" s="243">
        <f t="shared" si="1"/>
        <v>143726</v>
      </c>
      <c r="AI46" s="243">
        <f>VLOOKUP(A46,'OPEB Amounts_Report'!$A$10:$G$324,7,FALSE)</f>
        <v>813540</v>
      </c>
      <c r="AJ46" s="244">
        <f t="shared" si="2"/>
        <v>0</v>
      </c>
      <c r="AK46" s="244"/>
      <c r="AL46" s="354">
        <f t="shared" si="3"/>
        <v>2353</v>
      </c>
      <c r="AM46" s="243">
        <f t="shared" si="4"/>
        <v>161349</v>
      </c>
      <c r="AN46" s="243">
        <f t="shared" si="5"/>
        <v>163801</v>
      </c>
      <c r="AO46" s="243">
        <f t="shared" si="6"/>
        <v>216880</v>
      </c>
      <c r="AP46" s="243">
        <f t="shared" si="7"/>
        <v>72790</v>
      </c>
      <c r="AQ46" s="243">
        <f t="shared" si="8"/>
        <v>54994</v>
      </c>
    </row>
    <row r="47" spans="1:43">
      <c r="A47" s="59">
        <v>3040</v>
      </c>
      <c r="B47" s="63" t="s">
        <v>39</v>
      </c>
      <c r="C47" s="85">
        <f>_xlfn.XLOOKUP($A47,'Change in Proportion Calc'!$A$5:$A$311,'Change in Proportion Calc'!L$5:L$311,,0,)</f>
        <v>44262</v>
      </c>
      <c r="D47" s="85">
        <f>_xlfn.XLOOKUP($A47,'Change in Proportion Calc'!$A$5:$A$311,'Change in Proportion Calc'!M$5:M$311,,0,)</f>
        <v>44262</v>
      </c>
      <c r="E47" s="85">
        <f>_xlfn.XLOOKUP($A47,'Change in Proportion Calc'!$A$5:$A$311,'Change in Proportion Calc'!N$5:N$311,,0,)</f>
        <v>44262</v>
      </c>
      <c r="F47" s="85">
        <f>_xlfn.XLOOKUP($A47,'Change in Proportion Calc'!$A$5:$A$311,'Change in Proportion Calc'!O$5:O$311,,0,)</f>
        <v>44262</v>
      </c>
      <c r="G47" s="85">
        <f>_xlfn.XLOOKUP($A47,'Change in Proportion Calc'!$A$5:$A$311,'Change in Proportion Calc'!P$5:P$311,,0,)</f>
        <v>41165</v>
      </c>
      <c r="H47" s="228"/>
      <c r="I47" s="85">
        <v>-12068</v>
      </c>
      <c r="J47" s="85">
        <v>-12068</v>
      </c>
      <c r="K47" s="85">
        <v>-12068</v>
      </c>
      <c r="L47" s="85">
        <v>-12068</v>
      </c>
      <c r="M47" s="85">
        <v>-10497</v>
      </c>
      <c r="N47" s="85"/>
      <c r="O47" s="85">
        <v>9788</v>
      </c>
      <c r="P47" s="85">
        <v>9788</v>
      </c>
      <c r="Q47" s="85">
        <v>9788</v>
      </c>
      <c r="R47" s="85">
        <v>8709</v>
      </c>
      <c r="S47" s="228"/>
      <c r="T47" s="85">
        <v>-16036</v>
      </c>
      <c r="U47" s="85">
        <v>-16036</v>
      </c>
      <c r="V47" s="85">
        <v>-15715</v>
      </c>
      <c r="W47" s="228"/>
      <c r="X47" s="243">
        <v>-37439</v>
      </c>
      <c r="Y47" s="244">
        <v>-36690</v>
      </c>
      <c r="Z47" s="62"/>
      <c r="AA47" s="141">
        <v>-53584</v>
      </c>
      <c r="AD47" s="244">
        <f>VLOOKUP(A47,'Change in Proportion Calc'!$A$5:$H$311,8,FALSE)+SUMIF($C$5:$AB$5,2025,C47:AB47)</f>
        <v>-65077</v>
      </c>
      <c r="AF47" s="243">
        <f t="shared" si="0"/>
        <v>246498</v>
      </c>
      <c r="AG47" s="243">
        <f t="shared" si="1"/>
        <v>115142</v>
      </c>
      <c r="AI47" s="243">
        <f>VLOOKUP(A47,'OPEB Amounts_Report'!$A$10:$G$324,7,FALSE)</f>
        <v>246498</v>
      </c>
      <c r="AJ47" s="244">
        <f t="shared" si="2"/>
        <v>0</v>
      </c>
      <c r="AK47" s="244"/>
      <c r="AL47" s="354">
        <f t="shared" si="3"/>
        <v>3040</v>
      </c>
      <c r="AM47" s="243">
        <f t="shared" si="4"/>
        <v>-10744</v>
      </c>
      <c r="AN47" s="243">
        <f t="shared" si="5"/>
        <v>26267</v>
      </c>
      <c r="AO47" s="243">
        <f t="shared" si="6"/>
        <v>40903</v>
      </c>
      <c r="AP47" s="243">
        <f t="shared" si="7"/>
        <v>33765</v>
      </c>
      <c r="AQ47" s="243">
        <f t="shared" si="8"/>
        <v>41165</v>
      </c>
    </row>
    <row r="48" spans="1:43">
      <c r="A48" s="61">
        <v>2367</v>
      </c>
      <c r="B48" s="62" t="s">
        <v>40</v>
      </c>
      <c r="C48" s="85">
        <f>_xlfn.XLOOKUP($A48,'Change in Proportion Calc'!$A$5:$A$311,'Change in Proportion Calc'!L$5:L$311,,0,)</f>
        <v>29682</v>
      </c>
      <c r="D48" s="85">
        <f>_xlfn.XLOOKUP($A48,'Change in Proportion Calc'!$A$5:$A$311,'Change in Proportion Calc'!M$5:M$311,,0,)</f>
        <v>29682</v>
      </c>
      <c r="E48" s="85">
        <f>_xlfn.XLOOKUP($A48,'Change in Proportion Calc'!$A$5:$A$311,'Change in Proportion Calc'!N$5:N$311,,0,)</f>
        <v>29682</v>
      </c>
      <c r="F48" s="85">
        <f>_xlfn.XLOOKUP($A48,'Change in Proportion Calc'!$A$5:$A$311,'Change in Proportion Calc'!O$5:O$311,,0,)</f>
        <v>29682</v>
      </c>
      <c r="G48" s="85">
        <f>_xlfn.XLOOKUP($A48,'Change in Proportion Calc'!$A$5:$A$311,'Change in Proportion Calc'!P$5:P$311,,0,)</f>
        <v>27603</v>
      </c>
      <c r="H48" s="228"/>
      <c r="I48" s="85">
        <v>42409</v>
      </c>
      <c r="J48" s="85">
        <v>42409</v>
      </c>
      <c r="K48" s="85">
        <v>42409</v>
      </c>
      <c r="L48" s="85">
        <v>42409</v>
      </c>
      <c r="M48" s="85">
        <v>36898</v>
      </c>
      <c r="N48" s="85"/>
      <c r="O48" s="85">
        <v>24279</v>
      </c>
      <c r="P48" s="85">
        <v>24279</v>
      </c>
      <c r="Q48" s="85">
        <v>24279</v>
      </c>
      <c r="R48" s="85">
        <v>21609</v>
      </c>
      <c r="S48" s="228"/>
      <c r="T48" s="85">
        <v>35716</v>
      </c>
      <c r="U48" s="85">
        <v>35716</v>
      </c>
      <c r="V48" s="85">
        <v>35004</v>
      </c>
      <c r="W48" s="228"/>
      <c r="X48" s="243">
        <v>-8845</v>
      </c>
      <c r="Y48" s="244">
        <v>-8666</v>
      </c>
      <c r="Z48" s="62"/>
      <c r="AA48" s="141">
        <v>16642</v>
      </c>
      <c r="AD48" s="244">
        <f>VLOOKUP(A48,'Change in Proportion Calc'!$A$5:$H$311,8,FALSE)+SUMIF($C$5:$AB$5,2025,C48:AB48)</f>
        <v>139883</v>
      </c>
      <c r="AF48" s="243">
        <f t="shared" si="0"/>
        <v>451343</v>
      </c>
      <c r="AG48" s="243">
        <f t="shared" si="1"/>
        <v>8666</v>
      </c>
      <c r="AI48" s="243">
        <f>VLOOKUP(A48,'OPEB Amounts_Report'!$A$10:$G$324,7,FALSE)</f>
        <v>451343</v>
      </c>
      <c r="AJ48" s="244">
        <f t="shared" si="2"/>
        <v>0</v>
      </c>
      <c r="AK48" s="244"/>
      <c r="AL48" s="354">
        <f t="shared" si="3"/>
        <v>2367</v>
      </c>
      <c r="AM48" s="243">
        <f t="shared" si="4"/>
        <v>123420</v>
      </c>
      <c r="AN48" s="243">
        <f t="shared" si="5"/>
        <v>131374</v>
      </c>
      <c r="AO48" s="243">
        <f t="shared" si="6"/>
        <v>93700</v>
      </c>
      <c r="AP48" s="243">
        <f t="shared" si="7"/>
        <v>66580</v>
      </c>
      <c r="AQ48" s="243">
        <f t="shared" si="8"/>
        <v>27603</v>
      </c>
    </row>
    <row r="49" spans="1:43">
      <c r="A49" s="59">
        <v>9027</v>
      </c>
      <c r="B49" s="63" t="s">
        <v>41</v>
      </c>
      <c r="C49" s="85">
        <f>_xlfn.XLOOKUP($A49,'Change in Proportion Calc'!$A$5:$A$311,'Change in Proportion Calc'!L$5:L$311,,0,)</f>
        <v>-29252</v>
      </c>
      <c r="D49" s="85">
        <f>_xlfn.XLOOKUP($A49,'Change in Proportion Calc'!$A$5:$A$311,'Change in Proportion Calc'!M$5:M$311,,0,)</f>
        <v>-29252</v>
      </c>
      <c r="E49" s="85">
        <f>_xlfn.XLOOKUP($A49,'Change in Proportion Calc'!$A$5:$A$311,'Change in Proportion Calc'!N$5:N$311,,0,)</f>
        <v>-29252</v>
      </c>
      <c r="F49" s="85">
        <f>_xlfn.XLOOKUP($A49,'Change in Proportion Calc'!$A$5:$A$311,'Change in Proportion Calc'!O$5:O$311,,0,)</f>
        <v>-29252</v>
      </c>
      <c r="G49" s="85">
        <f>_xlfn.XLOOKUP($A49,'Change in Proportion Calc'!$A$5:$A$311,'Change in Proportion Calc'!P$5:P$311,,0,)</f>
        <v>-27206</v>
      </c>
      <c r="H49" s="228"/>
      <c r="I49" s="85">
        <v>-132</v>
      </c>
      <c r="J49" s="85">
        <v>-132</v>
      </c>
      <c r="K49" s="85">
        <v>-132</v>
      </c>
      <c r="L49" s="85">
        <v>-132</v>
      </c>
      <c r="M49" s="85">
        <v>-113</v>
      </c>
      <c r="N49" s="85"/>
      <c r="O49" s="85">
        <v>8594</v>
      </c>
      <c r="P49" s="85">
        <v>8594</v>
      </c>
      <c r="Q49" s="85">
        <v>8594</v>
      </c>
      <c r="R49" s="85">
        <v>7647</v>
      </c>
      <c r="S49" s="228"/>
      <c r="T49" s="85">
        <v>89493</v>
      </c>
      <c r="U49" s="85">
        <v>89493</v>
      </c>
      <c r="V49" s="85">
        <v>87705</v>
      </c>
      <c r="W49" s="228"/>
      <c r="X49" s="243">
        <v>-59250</v>
      </c>
      <c r="Y49" s="244">
        <v>-58063</v>
      </c>
      <c r="Z49" s="62"/>
      <c r="AA49" s="141">
        <v>6209</v>
      </c>
      <c r="AD49" s="244">
        <f>VLOOKUP(A49,'Change in Proportion Calc'!$A$5:$H$311,8,FALSE)+SUMIF($C$5:$AB$5,2025,C49:AB49)</f>
        <v>15662</v>
      </c>
      <c r="AF49" s="243">
        <f t="shared" si="0"/>
        <v>202033</v>
      </c>
      <c r="AG49" s="243">
        <f t="shared" si="1"/>
        <v>202786</v>
      </c>
      <c r="AI49" s="243">
        <f>VLOOKUP(A49,'OPEB Amounts_Report'!$A$10:$G$324,7,FALSE)</f>
        <v>202033</v>
      </c>
      <c r="AJ49" s="244">
        <f t="shared" si="2"/>
        <v>0</v>
      </c>
      <c r="AK49" s="244"/>
      <c r="AL49" s="354">
        <f t="shared" si="3"/>
        <v>9027</v>
      </c>
      <c r="AM49" s="243">
        <f t="shared" si="4"/>
        <v>10640</v>
      </c>
      <c r="AN49" s="243">
        <f t="shared" si="5"/>
        <v>66915</v>
      </c>
      <c r="AO49" s="243">
        <f t="shared" si="6"/>
        <v>-21737</v>
      </c>
      <c r="AP49" s="243">
        <f t="shared" si="7"/>
        <v>-29365</v>
      </c>
      <c r="AQ49" s="243">
        <f t="shared" si="8"/>
        <v>-27206</v>
      </c>
    </row>
    <row r="50" spans="1:43">
      <c r="A50" s="61">
        <v>2010</v>
      </c>
      <c r="B50" s="62" t="s">
        <v>42</v>
      </c>
      <c r="C50" s="85">
        <f>_xlfn.XLOOKUP($A50,'Change in Proportion Calc'!$A$5:$A$311,'Change in Proportion Calc'!L$5:L$311,,0,)</f>
        <v>-90656</v>
      </c>
      <c r="D50" s="85">
        <f>_xlfn.XLOOKUP($A50,'Change in Proportion Calc'!$A$5:$A$311,'Change in Proportion Calc'!M$5:M$311,,0,)</f>
        <v>-90656</v>
      </c>
      <c r="E50" s="85">
        <f>_xlfn.XLOOKUP($A50,'Change in Proportion Calc'!$A$5:$A$311,'Change in Proportion Calc'!N$5:N$311,,0,)</f>
        <v>-90656</v>
      </c>
      <c r="F50" s="85">
        <f>_xlfn.XLOOKUP($A50,'Change in Proportion Calc'!$A$5:$A$311,'Change in Proportion Calc'!O$5:O$311,,0,)</f>
        <v>-90656</v>
      </c>
      <c r="G50" s="85">
        <f>_xlfn.XLOOKUP($A50,'Change in Proportion Calc'!$A$5:$A$311,'Change in Proportion Calc'!P$5:P$311,,0,)</f>
        <v>-84312</v>
      </c>
      <c r="H50" s="228"/>
      <c r="I50" s="85">
        <v>38414</v>
      </c>
      <c r="J50" s="85">
        <v>38414</v>
      </c>
      <c r="K50" s="85">
        <v>38414</v>
      </c>
      <c r="L50" s="85">
        <v>38414</v>
      </c>
      <c r="M50" s="85">
        <v>33418</v>
      </c>
      <c r="N50" s="85"/>
      <c r="O50" s="85">
        <v>36938</v>
      </c>
      <c r="P50" s="85">
        <v>36938</v>
      </c>
      <c r="Q50" s="85">
        <v>36938</v>
      </c>
      <c r="R50" s="85">
        <v>32874</v>
      </c>
      <c r="S50" s="228"/>
      <c r="T50" s="85">
        <v>53615</v>
      </c>
      <c r="U50" s="85">
        <v>53615</v>
      </c>
      <c r="V50" s="85">
        <v>52543</v>
      </c>
      <c r="W50" s="228"/>
      <c r="X50" s="243">
        <v>-206172</v>
      </c>
      <c r="Y50" s="244">
        <v>-202047</v>
      </c>
      <c r="Z50" s="62"/>
      <c r="AA50" s="141">
        <v>-48495</v>
      </c>
      <c r="AD50" s="244">
        <f>VLOOKUP(A50,'Change in Proportion Calc'!$A$5:$H$311,8,FALSE)+SUMIF($C$5:$AB$5,2025,C50:AB50)</f>
        <v>-216356</v>
      </c>
      <c r="AF50" s="243">
        <f t="shared" si="0"/>
        <v>361568</v>
      </c>
      <c r="AG50" s="243">
        <f t="shared" si="1"/>
        <v>648983</v>
      </c>
      <c r="AI50" s="243">
        <f>VLOOKUP(A50,'OPEB Amounts_Report'!$A$10:$G$324,7,FALSE)</f>
        <v>361568</v>
      </c>
      <c r="AJ50" s="244">
        <f t="shared" si="2"/>
        <v>0</v>
      </c>
      <c r="AK50" s="244"/>
      <c r="AL50" s="354">
        <f t="shared" si="3"/>
        <v>2010</v>
      </c>
      <c r="AM50" s="243">
        <f t="shared" si="4"/>
        <v>-163736</v>
      </c>
      <c r="AN50" s="243">
        <f t="shared" si="5"/>
        <v>37239</v>
      </c>
      <c r="AO50" s="243">
        <f t="shared" si="6"/>
        <v>-19368</v>
      </c>
      <c r="AP50" s="243">
        <f t="shared" si="7"/>
        <v>-57238</v>
      </c>
      <c r="AQ50" s="243">
        <f t="shared" si="8"/>
        <v>-84312</v>
      </c>
    </row>
    <row r="51" spans="1:43">
      <c r="A51" s="59">
        <v>2020</v>
      </c>
      <c r="B51" s="63" t="s">
        <v>43</v>
      </c>
      <c r="C51" s="85">
        <f>_xlfn.XLOOKUP($A51,'Change in Proportion Calc'!$A$5:$A$311,'Change in Proportion Calc'!L$5:L$311,,0,)</f>
        <v>-466975</v>
      </c>
      <c r="D51" s="85">
        <f>_xlfn.XLOOKUP($A51,'Change in Proportion Calc'!$A$5:$A$311,'Change in Proportion Calc'!M$5:M$311,,0,)</f>
        <v>-466975</v>
      </c>
      <c r="E51" s="85">
        <f>_xlfn.XLOOKUP($A51,'Change in Proportion Calc'!$A$5:$A$311,'Change in Proportion Calc'!N$5:N$311,,0,)</f>
        <v>-466975</v>
      </c>
      <c r="F51" s="85">
        <f>_xlfn.XLOOKUP($A51,'Change in Proportion Calc'!$A$5:$A$311,'Change in Proportion Calc'!O$5:O$311,,0,)</f>
        <v>-466975</v>
      </c>
      <c r="G51" s="85">
        <f>_xlfn.XLOOKUP($A51,'Change in Proportion Calc'!$A$5:$A$311,'Change in Proportion Calc'!P$5:P$311,,0,)</f>
        <v>-434286</v>
      </c>
      <c r="H51" s="228"/>
      <c r="I51" s="85">
        <v>-1487596</v>
      </c>
      <c r="J51" s="85">
        <v>-1487596</v>
      </c>
      <c r="K51" s="85">
        <v>-1487596</v>
      </c>
      <c r="L51" s="85">
        <v>-1487596</v>
      </c>
      <c r="M51" s="85">
        <v>-1294210</v>
      </c>
      <c r="N51" s="85"/>
      <c r="O51" s="85">
        <v>-802408</v>
      </c>
      <c r="P51" s="85">
        <v>-802408</v>
      </c>
      <c r="Q51" s="85">
        <v>-802408</v>
      </c>
      <c r="R51" s="85">
        <v>-714141</v>
      </c>
      <c r="S51" s="228"/>
      <c r="T51" s="85">
        <v>468848</v>
      </c>
      <c r="U51" s="85">
        <v>468848</v>
      </c>
      <c r="V51" s="85">
        <v>459471</v>
      </c>
      <c r="W51" s="228"/>
      <c r="X51" s="243">
        <v>-1405505</v>
      </c>
      <c r="Y51" s="244">
        <v>-1377395</v>
      </c>
      <c r="Z51" s="62"/>
      <c r="AA51" s="141">
        <v>40855</v>
      </c>
      <c r="AD51" s="244">
        <f>VLOOKUP(A51,'Change in Proportion Calc'!$A$5:$H$311,8,FALSE)+SUMIF($C$5:$AB$5,2025,C51:AB51)</f>
        <v>-3652781</v>
      </c>
      <c r="AF51" s="243">
        <f t="shared" si="0"/>
        <v>928319</v>
      </c>
      <c r="AG51" s="243">
        <f t="shared" si="1"/>
        <v>11755536</v>
      </c>
      <c r="AI51" s="243">
        <f>VLOOKUP(A51,'OPEB Amounts_Report'!$A$10:$G$324,7,FALSE)</f>
        <v>928319</v>
      </c>
      <c r="AJ51" s="244">
        <f t="shared" si="2"/>
        <v>0</v>
      </c>
      <c r="AK51" s="244"/>
      <c r="AL51" s="354">
        <f t="shared" si="3"/>
        <v>2020</v>
      </c>
      <c r="AM51" s="243">
        <f t="shared" si="4"/>
        <v>-3665526</v>
      </c>
      <c r="AN51" s="243">
        <f t="shared" si="5"/>
        <v>-2297508</v>
      </c>
      <c r="AO51" s="243">
        <f t="shared" si="6"/>
        <v>-2668712</v>
      </c>
      <c r="AP51" s="243">
        <f t="shared" si="7"/>
        <v>-1761185</v>
      </c>
      <c r="AQ51" s="243">
        <f t="shared" si="8"/>
        <v>-434286</v>
      </c>
    </row>
    <row r="52" spans="1:43">
      <c r="A52" s="61">
        <v>2040</v>
      </c>
      <c r="B52" s="62" t="s">
        <v>44</v>
      </c>
      <c r="C52" s="85">
        <f>_xlfn.XLOOKUP($A52,'Change in Proportion Calc'!$A$5:$A$311,'Change in Proportion Calc'!L$5:L$311,,0,)</f>
        <v>-32340</v>
      </c>
      <c r="D52" s="85">
        <f>_xlfn.XLOOKUP($A52,'Change in Proportion Calc'!$A$5:$A$311,'Change in Proportion Calc'!M$5:M$311,,0,)</f>
        <v>-32340</v>
      </c>
      <c r="E52" s="85">
        <f>_xlfn.XLOOKUP($A52,'Change in Proportion Calc'!$A$5:$A$311,'Change in Proportion Calc'!N$5:N$311,,0,)</f>
        <v>-32340</v>
      </c>
      <c r="F52" s="85">
        <f>_xlfn.XLOOKUP($A52,'Change in Proportion Calc'!$A$5:$A$311,'Change in Proportion Calc'!O$5:O$311,,0,)</f>
        <v>-32340</v>
      </c>
      <c r="G52" s="85">
        <f>_xlfn.XLOOKUP($A52,'Change in Proportion Calc'!$A$5:$A$311,'Change in Proportion Calc'!P$5:P$311,,0,)</f>
        <v>-30075</v>
      </c>
      <c r="H52" s="228"/>
      <c r="I52" s="85">
        <v>2424</v>
      </c>
      <c r="J52" s="85">
        <v>2424</v>
      </c>
      <c r="K52" s="85">
        <v>2424</v>
      </c>
      <c r="L52" s="85">
        <v>2424</v>
      </c>
      <c r="M52" s="85">
        <v>2109</v>
      </c>
      <c r="N52" s="85"/>
      <c r="O52" s="85">
        <v>40761</v>
      </c>
      <c r="P52" s="85">
        <v>40761</v>
      </c>
      <c r="Q52" s="85">
        <v>40761</v>
      </c>
      <c r="R52" s="85">
        <v>36275</v>
      </c>
      <c r="S52" s="228"/>
      <c r="T52" s="85">
        <v>-6236</v>
      </c>
      <c r="U52" s="85">
        <v>-6236</v>
      </c>
      <c r="V52" s="85">
        <v>-6112</v>
      </c>
      <c r="W52" s="228"/>
      <c r="X52" s="243">
        <v>-51436</v>
      </c>
      <c r="Y52" s="244">
        <v>-50405</v>
      </c>
      <c r="Z52" s="62"/>
      <c r="AA52" s="141">
        <v>12356</v>
      </c>
      <c r="AD52" s="244">
        <f>VLOOKUP(A52,'Change in Proportion Calc'!$A$5:$H$311,8,FALSE)+SUMIF($C$5:$AB$5,2025,C52:AB52)</f>
        <v>-34471</v>
      </c>
      <c r="AF52" s="243">
        <f t="shared" si="0"/>
        <v>127178</v>
      </c>
      <c r="AG52" s="243">
        <f t="shared" si="1"/>
        <v>222188</v>
      </c>
      <c r="AI52" s="243">
        <f>VLOOKUP(A52,'OPEB Amounts_Report'!$A$10:$G$324,7,FALSE)</f>
        <v>127178</v>
      </c>
      <c r="AJ52" s="244">
        <f t="shared" si="2"/>
        <v>0</v>
      </c>
      <c r="AK52" s="244"/>
      <c r="AL52" s="354">
        <f t="shared" si="3"/>
        <v>2040</v>
      </c>
      <c r="AM52" s="243">
        <f t="shared" si="4"/>
        <v>-45796</v>
      </c>
      <c r="AN52" s="243">
        <f t="shared" si="5"/>
        <v>4733</v>
      </c>
      <c r="AO52" s="243">
        <f t="shared" si="6"/>
        <v>6359</v>
      </c>
      <c r="AP52" s="243">
        <f t="shared" si="7"/>
        <v>-30231</v>
      </c>
      <c r="AQ52" s="243">
        <f t="shared" si="8"/>
        <v>-30075</v>
      </c>
    </row>
    <row r="53" spans="1:43">
      <c r="A53" s="59">
        <v>2060</v>
      </c>
      <c r="B53" s="63" t="s">
        <v>45</v>
      </c>
      <c r="C53" s="85">
        <f>_xlfn.XLOOKUP($A53,'Change in Proportion Calc'!$A$5:$A$311,'Change in Proportion Calc'!L$5:L$311,,0,)</f>
        <v>153258</v>
      </c>
      <c r="D53" s="85">
        <f>_xlfn.XLOOKUP($A53,'Change in Proportion Calc'!$A$5:$A$311,'Change in Proportion Calc'!M$5:M$311,,0,)</f>
        <v>153258</v>
      </c>
      <c r="E53" s="85">
        <f>_xlfn.XLOOKUP($A53,'Change in Proportion Calc'!$A$5:$A$311,'Change in Proportion Calc'!N$5:N$311,,0,)</f>
        <v>153258</v>
      </c>
      <c r="F53" s="85">
        <f>_xlfn.XLOOKUP($A53,'Change in Proportion Calc'!$A$5:$A$311,'Change in Proportion Calc'!O$5:O$311,,0,)</f>
        <v>153258</v>
      </c>
      <c r="G53" s="85">
        <f>_xlfn.XLOOKUP($A53,'Change in Proportion Calc'!$A$5:$A$311,'Change in Proportion Calc'!P$5:P$311,,0,)</f>
        <v>142530</v>
      </c>
      <c r="H53" s="228"/>
      <c r="I53" s="85">
        <v>-8731</v>
      </c>
      <c r="J53" s="85">
        <v>-8731</v>
      </c>
      <c r="K53" s="85">
        <v>-8731</v>
      </c>
      <c r="L53" s="85">
        <v>-8731</v>
      </c>
      <c r="M53" s="85">
        <v>-7597</v>
      </c>
      <c r="N53" s="85"/>
      <c r="O53" s="85">
        <v>50890</v>
      </c>
      <c r="P53" s="85">
        <v>50890</v>
      </c>
      <c r="Q53" s="85">
        <v>50890</v>
      </c>
      <c r="R53" s="85">
        <v>45291</v>
      </c>
      <c r="S53" s="228"/>
      <c r="T53" s="85">
        <v>141894</v>
      </c>
      <c r="U53" s="85">
        <v>141894</v>
      </c>
      <c r="V53" s="85">
        <v>139054</v>
      </c>
      <c r="W53" s="228"/>
      <c r="X53" s="243">
        <v>-68438</v>
      </c>
      <c r="Y53" s="244">
        <v>-67067</v>
      </c>
      <c r="Z53" s="62"/>
      <c r="AA53" s="141">
        <v>3726</v>
      </c>
      <c r="AD53" s="244">
        <f>VLOOKUP(A53,'Change in Proportion Calc'!$A$5:$H$311,8,FALSE)+SUMIF($C$5:$AB$5,2025,C53:AB53)</f>
        <v>272599</v>
      </c>
      <c r="AF53" s="243">
        <f t="shared" si="0"/>
        <v>1183581</v>
      </c>
      <c r="AG53" s="243">
        <f t="shared" si="1"/>
        <v>100857</v>
      </c>
      <c r="AI53" s="243">
        <f>VLOOKUP(A53,'OPEB Amounts_Report'!$A$10:$G$324,7,FALSE)</f>
        <v>1183581</v>
      </c>
      <c r="AJ53" s="244">
        <f t="shared" si="2"/>
        <v>0</v>
      </c>
      <c r="AK53" s="244"/>
      <c r="AL53" s="354">
        <f t="shared" si="3"/>
        <v>2060</v>
      </c>
      <c r="AM53" s="243">
        <f t="shared" si="4"/>
        <v>270244</v>
      </c>
      <c r="AN53" s="243">
        <f t="shared" si="5"/>
        <v>334471</v>
      </c>
      <c r="AO53" s="243">
        <f t="shared" si="6"/>
        <v>189818</v>
      </c>
      <c r="AP53" s="243">
        <f t="shared" si="7"/>
        <v>145661</v>
      </c>
      <c r="AQ53" s="243">
        <f t="shared" si="8"/>
        <v>142530</v>
      </c>
    </row>
    <row r="54" spans="1:43">
      <c r="A54" s="61">
        <v>2090</v>
      </c>
      <c r="B54" s="62" t="s">
        <v>46</v>
      </c>
      <c r="C54" s="85">
        <f>_xlfn.XLOOKUP($A54,'Change in Proportion Calc'!$A$5:$A$311,'Change in Proportion Calc'!L$5:L$311,,0,)</f>
        <v>-6658</v>
      </c>
      <c r="D54" s="85">
        <f>_xlfn.XLOOKUP($A54,'Change in Proportion Calc'!$A$5:$A$311,'Change in Proportion Calc'!M$5:M$311,,0,)</f>
        <v>-6658</v>
      </c>
      <c r="E54" s="85">
        <f>_xlfn.XLOOKUP($A54,'Change in Proportion Calc'!$A$5:$A$311,'Change in Proportion Calc'!N$5:N$311,,0,)</f>
        <v>-6658</v>
      </c>
      <c r="F54" s="85">
        <f>_xlfn.XLOOKUP($A54,'Change in Proportion Calc'!$A$5:$A$311,'Change in Proportion Calc'!O$5:O$311,,0,)</f>
        <v>-6658</v>
      </c>
      <c r="G54" s="85">
        <f>_xlfn.XLOOKUP($A54,'Change in Proportion Calc'!$A$5:$A$311,'Change in Proportion Calc'!P$5:P$311,,0,)</f>
        <v>-6192</v>
      </c>
      <c r="H54" s="228"/>
      <c r="I54" s="85">
        <v>10253</v>
      </c>
      <c r="J54" s="85">
        <v>10253</v>
      </c>
      <c r="K54" s="85">
        <v>10253</v>
      </c>
      <c r="L54" s="85">
        <v>10253</v>
      </c>
      <c r="M54" s="85">
        <v>8920</v>
      </c>
      <c r="N54" s="85"/>
      <c r="O54" s="85">
        <v>19539</v>
      </c>
      <c r="P54" s="85">
        <v>19539</v>
      </c>
      <c r="Q54" s="85">
        <v>19539</v>
      </c>
      <c r="R54" s="85">
        <v>17391</v>
      </c>
      <c r="S54" s="228"/>
      <c r="T54" s="85">
        <v>-39280</v>
      </c>
      <c r="U54" s="85">
        <v>-39280</v>
      </c>
      <c r="V54" s="85">
        <v>-38494</v>
      </c>
      <c r="W54" s="228"/>
      <c r="X54" s="243">
        <v>-8587</v>
      </c>
      <c r="Y54" s="244">
        <v>-8415</v>
      </c>
      <c r="Z54" s="62"/>
      <c r="AA54" s="141">
        <v>-57062</v>
      </c>
      <c r="AD54" s="244">
        <f>VLOOKUP(A54,'Change in Proportion Calc'!$A$5:$H$311,8,FALSE)+SUMIF($C$5:$AB$5,2025,C54:AB54)</f>
        <v>-81795</v>
      </c>
      <c r="AF54" s="243">
        <f t="shared" si="0"/>
        <v>96148</v>
      </c>
      <c r="AG54" s="243">
        <f t="shared" si="1"/>
        <v>119013</v>
      </c>
      <c r="AI54" s="243">
        <f>VLOOKUP(A54,'OPEB Amounts_Report'!$A$10:$G$324,7,FALSE)</f>
        <v>96148</v>
      </c>
      <c r="AJ54" s="244">
        <f t="shared" si="2"/>
        <v>0</v>
      </c>
      <c r="AK54" s="244"/>
      <c r="AL54" s="354">
        <f t="shared" si="3"/>
        <v>2090</v>
      </c>
      <c r="AM54" s="243">
        <f t="shared" si="4"/>
        <v>-24561</v>
      </c>
      <c r="AN54" s="243">
        <f t="shared" si="5"/>
        <v>-15360</v>
      </c>
      <c r="AO54" s="243">
        <f t="shared" si="6"/>
        <v>20986</v>
      </c>
      <c r="AP54" s="243">
        <f t="shared" si="7"/>
        <v>2262</v>
      </c>
      <c r="AQ54" s="243">
        <f t="shared" si="8"/>
        <v>-6192</v>
      </c>
    </row>
    <row r="55" spans="1:43">
      <c r="A55" s="59">
        <v>2110</v>
      </c>
      <c r="B55" s="63" t="s">
        <v>47</v>
      </c>
      <c r="C55" s="85">
        <f>_xlfn.XLOOKUP($A55,'Change in Proportion Calc'!$A$5:$A$311,'Change in Proportion Calc'!L$5:L$311,,0,)</f>
        <v>-128136</v>
      </c>
      <c r="D55" s="85">
        <f>_xlfn.XLOOKUP($A55,'Change in Proportion Calc'!$A$5:$A$311,'Change in Proportion Calc'!M$5:M$311,,0,)</f>
        <v>-128136</v>
      </c>
      <c r="E55" s="85">
        <f>_xlfn.XLOOKUP($A55,'Change in Proportion Calc'!$A$5:$A$311,'Change in Proportion Calc'!N$5:N$311,,0,)</f>
        <v>-128136</v>
      </c>
      <c r="F55" s="85">
        <f>_xlfn.XLOOKUP($A55,'Change in Proportion Calc'!$A$5:$A$311,'Change in Proportion Calc'!O$5:O$311,,0,)</f>
        <v>-128136</v>
      </c>
      <c r="G55" s="85">
        <f>_xlfn.XLOOKUP($A55,'Change in Proportion Calc'!$A$5:$A$311,'Change in Proportion Calc'!P$5:P$311,,0,)</f>
        <v>-119168</v>
      </c>
      <c r="H55" s="228"/>
      <c r="I55" s="85">
        <v>-382134</v>
      </c>
      <c r="J55" s="85">
        <v>-382134</v>
      </c>
      <c r="K55" s="85">
        <v>-382134</v>
      </c>
      <c r="L55" s="85">
        <v>-382134</v>
      </c>
      <c r="M55" s="85">
        <v>-332459</v>
      </c>
      <c r="N55" s="85"/>
      <c r="O55" s="85">
        <v>-119166</v>
      </c>
      <c r="P55" s="85">
        <v>-119166</v>
      </c>
      <c r="Q55" s="85">
        <v>-119166</v>
      </c>
      <c r="R55" s="85">
        <v>-106056</v>
      </c>
      <c r="S55" s="228"/>
      <c r="T55" s="85">
        <v>-91437</v>
      </c>
      <c r="U55" s="85">
        <v>-91437</v>
      </c>
      <c r="V55" s="85">
        <v>-89609</v>
      </c>
      <c r="W55" s="228"/>
      <c r="X55" s="243">
        <v>-121161</v>
      </c>
      <c r="Y55" s="244">
        <v>-118739</v>
      </c>
      <c r="Z55" s="62"/>
      <c r="AA55" s="141">
        <v>79042</v>
      </c>
      <c r="AD55" s="244">
        <f>VLOOKUP(A55,'Change in Proportion Calc'!$A$5:$H$311,8,FALSE)+SUMIF($C$5:$AB$5,2025,C55:AB55)</f>
        <v>-762992</v>
      </c>
      <c r="AF55" s="243">
        <f t="shared" si="0"/>
        <v>0</v>
      </c>
      <c r="AG55" s="243">
        <f t="shared" si="1"/>
        <v>2754746</v>
      </c>
      <c r="AI55" s="243">
        <f>VLOOKUP(A55,'OPEB Amounts_Report'!$A$10:$G$324,7,FALSE)</f>
        <v>0</v>
      </c>
      <c r="AJ55" s="244">
        <f t="shared" si="2"/>
        <v>0</v>
      </c>
      <c r="AK55" s="244"/>
      <c r="AL55" s="354">
        <f t="shared" si="3"/>
        <v>2110</v>
      </c>
      <c r="AM55" s="243">
        <f t="shared" si="4"/>
        <v>-839612</v>
      </c>
      <c r="AN55" s="243">
        <f t="shared" si="5"/>
        <v>-719045</v>
      </c>
      <c r="AO55" s="243">
        <f t="shared" si="6"/>
        <v>-616326</v>
      </c>
      <c r="AP55" s="243">
        <f t="shared" si="7"/>
        <v>-460595</v>
      </c>
      <c r="AQ55" s="243">
        <f t="shared" si="8"/>
        <v>-119168</v>
      </c>
    </row>
    <row r="56" spans="1:43">
      <c r="A56" s="61">
        <v>2180</v>
      </c>
      <c r="B56" s="62" t="s">
        <v>48</v>
      </c>
      <c r="C56" s="85">
        <f>_xlfn.XLOOKUP($A56,'Change in Proportion Calc'!$A$5:$A$311,'Change in Proportion Calc'!L$5:L$311,,0,)</f>
        <v>-63194</v>
      </c>
      <c r="D56" s="85">
        <f>_xlfn.XLOOKUP($A56,'Change in Proportion Calc'!$A$5:$A$311,'Change in Proportion Calc'!M$5:M$311,,0,)</f>
        <v>-63194</v>
      </c>
      <c r="E56" s="85">
        <f>_xlfn.XLOOKUP($A56,'Change in Proportion Calc'!$A$5:$A$311,'Change in Proportion Calc'!N$5:N$311,,0,)</f>
        <v>-63194</v>
      </c>
      <c r="F56" s="85">
        <f>_xlfn.XLOOKUP($A56,'Change in Proportion Calc'!$A$5:$A$311,'Change in Proportion Calc'!O$5:O$311,,0,)</f>
        <v>-63194</v>
      </c>
      <c r="G56" s="85">
        <f>_xlfn.XLOOKUP($A56,'Change in Proportion Calc'!$A$5:$A$311,'Change in Proportion Calc'!P$5:P$311,,0,)</f>
        <v>-58772</v>
      </c>
      <c r="H56" s="228"/>
      <c r="I56" s="85">
        <v>-104656</v>
      </c>
      <c r="J56" s="85">
        <v>-104656</v>
      </c>
      <c r="K56" s="85">
        <v>-104656</v>
      </c>
      <c r="L56" s="85">
        <v>-104656</v>
      </c>
      <c r="M56" s="85">
        <v>-91052</v>
      </c>
      <c r="N56" s="85"/>
      <c r="O56" s="85">
        <v>-1836</v>
      </c>
      <c r="P56" s="85">
        <v>-1836</v>
      </c>
      <c r="Q56" s="85">
        <v>-1836</v>
      </c>
      <c r="R56" s="85">
        <v>-1632</v>
      </c>
      <c r="S56" s="228"/>
      <c r="T56" s="85">
        <v>31829</v>
      </c>
      <c r="U56" s="85">
        <v>31829</v>
      </c>
      <c r="V56" s="85">
        <v>31192</v>
      </c>
      <c r="W56" s="228"/>
      <c r="X56" s="243">
        <v>-184876</v>
      </c>
      <c r="Y56" s="244">
        <v>-181179</v>
      </c>
      <c r="Z56" s="62"/>
      <c r="AA56" s="141">
        <v>-44706</v>
      </c>
      <c r="AD56" s="244">
        <f>VLOOKUP(A56,'Change in Proportion Calc'!$A$5:$H$311,8,FALSE)+SUMIF($C$5:$AB$5,2025,C56:AB56)</f>
        <v>-367439</v>
      </c>
      <c r="AF56" s="243">
        <f t="shared" si="0"/>
        <v>63021</v>
      </c>
      <c r="AG56" s="243">
        <f t="shared" si="1"/>
        <v>903051</v>
      </c>
      <c r="AI56" s="243">
        <f>VLOOKUP(A56,'OPEB Amounts_Report'!$A$10:$G$324,7,FALSE)</f>
        <v>63021</v>
      </c>
      <c r="AJ56" s="244">
        <f t="shared" si="2"/>
        <v>0</v>
      </c>
      <c r="AK56" s="244"/>
      <c r="AL56" s="354">
        <f t="shared" si="3"/>
        <v>2180</v>
      </c>
      <c r="AM56" s="243">
        <f t="shared" si="4"/>
        <v>-319036</v>
      </c>
      <c r="AN56" s="243">
        <f t="shared" si="5"/>
        <v>-138494</v>
      </c>
      <c r="AO56" s="243">
        <f t="shared" si="6"/>
        <v>-169482</v>
      </c>
      <c r="AP56" s="243">
        <f t="shared" si="7"/>
        <v>-154246</v>
      </c>
      <c r="AQ56" s="243">
        <f t="shared" si="8"/>
        <v>-58772</v>
      </c>
    </row>
    <row r="57" spans="1:43">
      <c r="A57" s="59">
        <v>2210</v>
      </c>
      <c r="B57" s="63" t="s">
        <v>49</v>
      </c>
      <c r="C57" s="85">
        <f>_xlfn.XLOOKUP($A57,'Change in Proportion Calc'!$A$5:$A$311,'Change in Proportion Calc'!L$5:L$311,,0,)</f>
        <v>27117</v>
      </c>
      <c r="D57" s="85">
        <f>_xlfn.XLOOKUP($A57,'Change in Proportion Calc'!$A$5:$A$311,'Change in Proportion Calc'!M$5:M$311,,0,)</f>
        <v>27117</v>
      </c>
      <c r="E57" s="85">
        <f>_xlfn.XLOOKUP($A57,'Change in Proportion Calc'!$A$5:$A$311,'Change in Proportion Calc'!N$5:N$311,,0,)</f>
        <v>27117</v>
      </c>
      <c r="F57" s="85">
        <f>_xlfn.XLOOKUP($A57,'Change in Proportion Calc'!$A$5:$A$311,'Change in Proportion Calc'!O$5:O$311,,0,)</f>
        <v>27117</v>
      </c>
      <c r="G57" s="85">
        <f>_xlfn.XLOOKUP($A57,'Change in Proportion Calc'!$A$5:$A$311,'Change in Proportion Calc'!P$5:P$311,,0,)</f>
        <v>25221</v>
      </c>
      <c r="H57" s="228"/>
      <c r="I57" s="85">
        <v>-95770</v>
      </c>
      <c r="J57" s="85">
        <v>-95770</v>
      </c>
      <c r="K57" s="85">
        <v>-95770</v>
      </c>
      <c r="L57" s="85">
        <v>-95770</v>
      </c>
      <c r="M57" s="85">
        <v>-83318</v>
      </c>
      <c r="N57" s="85"/>
      <c r="O57" s="85">
        <v>-73664</v>
      </c>
      <c r="P57" s="85">
        <v>-73664</v>
      </c>
      <c r="Q57" s="85">
        <v>-73664</v>
      </c>
      <c r="R57" s="85">
        <v>-65563</v>
      </c>
      <c r="S57" s="228"/>
      <c r="T57" s="85">
        <v>8504</v>
      </c>
      <c r="U57" s="85">
        <v>8504</v>
      </c>
      <c r="V57" s="85">
        <v>8333</v>
      </c>
      <c r="W57" s="228"/>
      <c r="X57" s="243">
        <v>-77883</v>
      </c>
      <c r="Y57" s="244">
        <v>-76327</v>
      </c>
      <c r="Z57" s="62"/>
      <c r="AA57" s="141">
        <v>-26204</v>
      </c>
      <c r="AD57" s="244">
        <f>VLOOKUP(A57,'Change in Proportion Calc'!$A$5:$H$311,8,FALSE)+SUMIF($C$5:$AB$5,2025,C57:AB57)</f>
        <v>-237900</v>
      </c>
      <c r="AF57" s="243">
        <f t="shared" si="0"/>
        <v>150526</v>
      </c>
      <c r="AG57" s="243">
        <f t="shared" si="1"/>
        <v>659846</v>
      </c>
      <c r="AI57" s="243">
        <f>VLOOKUP(A57,'OPEB Amounts_Report'!$A$10:$G$324,7,FALSE)</f>
        <v>150526</v>
      </c>
      <c r="AJ57" s="244">
        <f t="shared" si="2"/>
        <v>0</v>
      </c>
      <c r="AK57" s="244"/>
      <c r="AL57" s="354">
        <f t="shared" si="3"/>
        <v>2210</v>
      </c>
      <c r="AM57" s="243">
        <f t="shared" si="4"/>
        <v>-210140</v>
      </c>
      <c r="AN57" s="243">
        <f t="shared" si="5"/>
        <v>-133984</v>
      </c>
      <c r="AO57" s="243">
        <f t="shared" si="6"/>
        <v>-134216</v>
      </c>
      <c r="AP57" s="243">
        <f t="shared" si="7"/>
        <v>-56201</v>
      </c>
      <c r="AQ57" s="243">
        <f t="shared" si="8"/>
        <v>25221</v>
      </c>
    </row>
    <row r="58" spans="1:43">
      <c r="A58" s="61">
        <v>2290</v>
      </c>
      <c r="B58" s="62" t="s">
        <v>50</v>
      </c>
      <c r="C58" s="85">
        <f>_xlfn.XLOOKUP($A58,'Change in Proportion Calc'!$A$5:$A$311,'Change in Proportion Calc'!L$5:L$311,,0,)</f>
        <v>-18107</v>
      </c>
      <c r="D58" s="85">
        <f>_xlfn.XLOOKUP($A58,'Change in Proportion Calc'!$A$5:$A$311,'Change in Proportion Calc'!M$5:M$311,,0,)</f>
        <v>-18107</v>
      </c>
      <c r="E58" s="85">
        <f>_xlfn.XLOOKUP($A58,'Change in Proportion Calc'!$A$5:$A$311,'Change in Proportion Calc'!N$5:N$311,,0,)</f>
        <v>-18107</v>
      </c>
      <c r="F58" s="85">
        <f>_xlfn.XLOOKUP($A58,'Change in Proportion Calc'!$A$5:$A$311,'Change in Proportion Calc'!O$5:O$311,,0,)</f>
        <v>-18107</v>
      </c>
      <c r="G58" s="85">
        <f>_xlfn.XLOOKUP($A58,'Change in Proportion Calc'!$A$5:$A$311,'Change in Proportion Calc'!P$5:P$311,,0,)</f>
        <v>-16837</v>
      </c>
      <c r="H58" s="228"/>
      <c r="I58" s="85">
        <v>-16895</v>
      </c>
      <c r="J58" s="85">
        <v>-16895</v>
      </c>
      <c r="K58" s="85">
        <v>-16895</v>
      </c>
      <c r="L58" s="85">
        <v>-16895</v>
      </c>
      <c r="M58" s="85">
        <v>-14699</v>
      </c>
      <c r="N58" s="85"/>
      <c r="O58" s="85">
        <v>-17932</v>
      </c>
      <c r="P58" s="85">
        <v>-17932</v>
      </c>
      <c r="Q58" s="85">
        <v>-17932</v>
      </c>
      <c r="R58" s="85">
        <v>-15960</v>
      </c>
      <c r="S58" s="228"/>
      <c r="T58" s="85">
        <v>31991</v>
      </c>
      <c r="U58" s="85">
        <v>31991</v>
      </c>
      <c r="V58" s="85">
        <v>31350</v>
      </c>
      <c r="W58" s="228"/>
      <c r="X58" s="243">
        <v>-9274</v>
      </c>
      <c r="Y58" s="244">
        <v>-9088</v>
      </c>
      <c r="Z58" s="62"/>
      <c r="AA58" s="141">
        <v>-45328</v>
      </c>
      <c r="AD58" s="244">
        <f>VLOOKUP(A58,'Change in Proportion Calc'!$A$5:$H$311,8,FALSE)+SUMIF($C$5:$AB$5,2025,C58:AB58)</f>
        <v>-75545</v>
      </c>
      <c r="AF58" s="243">
        <f t="shared" si="0"/>
        <v>63341</v>
      </c>
      <c r="AG58" s="243">
        <f t="shared" si="1"/>
        <v>215561</v>
      </c>
      <c r="AI58" s="243">
        <f>VLOOKUP(A58,'OPEB Amounts_Report'!$A$10:$G$324,7,FALSE)</f>
        <v>63341</v>
      </c>
      <c r="AJ58" s="244">
        <f t="shared" si="2"/>
        <v>0</v>
      </c>
      <c r="AK58" s="244"/>
      <c r="AL58" s="354">
        <f t="shared" si="3"/>
        <v>2290</v>
      </c>
      <c r="AM58" s="243">
        <f t="shared" si="4"/>
        <v>-30031</v>
      </c>
      <c r="AN58" s="243">
        <f t="shared" si="5"/>
        <v>-21584</v>
      </c>
      <c r="AO58" s="243">
        <f t="shared" si="6"/>
        <v>-50962</v>
      </c>
      <c r="AP58" s="243">
        <f t="shared" si="7"/>
        <v>-32806</v>
      </c>
      <c r="AQ58" s="243">
        <f t="shared" si="8"/>
        <v>-16837</v>
      </c>
    </row>
    <row r="59" spans="1:43">
      <c r="A59" s="59">
        <v>2310</v>
      </c>
      <c r="B59" s="63" t="s">
        <v>51</v>
      </c>
      <c r="C59" s="85">
        <f>_xlfn.XLOOKUP($A59,'Change in Proportion Calc'!$A$5:$A$311,'Change in Proportion Calc'!L$5:L$311,,0,)</f>
        <v>229431</v>
      </c>
      <c r="D59" s="85">
        <f>_xlfn.XLOOKUP($A59,'Change in Proportion Calc'!$A$5:$A$311,'Change in Proportion Calc'!M$5:M$311,,0,)</f>
        <v>229431</v>
      </c>
      <c r="E59" s="85">
        <f>_xlfn.XLOOKUP($A59,'Change in Proportion Calc'!$A$5:$A$311,'Change in Proportion Calc'!N$5:N$311,,0,)</f>
        <v>229431</v>
      </c>
      <c r="F59" s="85">
        <f>_xlfn.XLOOKUP($A59,'Change in Proportion Calc'!$A$5:$A$311,'Change in Proportion Calc'!O$5:O$311,,0,)</f>
        <v>229431</v>
      </c>
      <c r="G59" s="85">
        <f>_xlfn.XLOOKUP($A59,'Change in Proportion Calc'!$A$5:$A$311,'Change in Proportion Calc'!P$5:P$311,,0,)</f>
        <v>213368</v>
      </c>
      <c r="H59" s="228"/>
      <c r="I59" s="85">
        <v>-346467</v>
      </c>
      <c r="J59" s="85">
        <v>-346467</v>
      </c>
      <c r="K59" s="85">
        <v>-346467</v>
      </c>
      <c r="L59" s="85">
        <v>-346467</v>
      </c>
      <c r="M59" s="85">
        <v>-301425</v>
      </c>
      <c r="N59" s="85"/>
      <c r="O59" s="85">
        <v>-149104</v>
      </c>
      <c r="P59" s="85">
        <v>-149104</v>
      </c>
      <c r="Q59" s="85">
        <v>-149104</v>
      </c>
      <c r="R59" s="85">
        <v>-132704</v>
      </c>
      <c r="S59" s="228"/>
      <c r="T59" s="85">
        <v>-193970</v>
      </c>
      <c r="U59" s="85">
        <v>-193970</v>
      </c>
      <c r="V59" s="85">
        <v>-190089</v>
      </c>
      <c r="W59" s="228"/>
      <c r="X59" s="243">
        <v>-1080662</v>
      </c>
      <c r="Y59" s="244">
        <v>-1059051</v>
      </c>
      <c r="Z59" s="62"/>
      <c r="AA59" s="141">
        <v>560012</v>
      </c>
      <c r="AD59" s="244">
        <f>VLOOKUP(A59,'Change in Proportion Calc'!$A$5:$H$311,8,FALSE)+SUMIF($C$5:$AB$5,2025,C59:AB59)</f>
        <v>-980760</v>
      </c>
      <c r="AF59" s="243">
        <f t="shared" si="0"/>
        <v>1131092</v>
      </c>
      <c r="AG59" s="243">
        <f t="shared" si="1"/>
        <v>3214848</v>
      </c>
      <c r="AI59" s="243">
        <f>VLOOKUP(A59,'OPEB Amounts_Report'!$A$10:$G$324,7,FALSE)</f>
        <v>1131092</v>
      </c>
      <c r="AJ59" s="244">
        <f t="shared" si="2"/>
        <v>0</v>
      </c>
      <c r="AK59" s="244"/>
      <c r="AL59" s="354">
        <f t="shared" si="3"/>
        <v>2310</v>
      </c>
      <c r="AM59" s="243">
        <f t="shared" si="4"/>
        <v>-1519161</v>
      </c>
      <c r="AN59" s="243">
        <f t="shared" si="5"/>
        <v>-456229</v>
      </c>
      <c r="AO59" s="243">
        <f t="shared" si="6"/>
        <v>-249740</v>
      </c>
      <c r="AP59" s="243">
        <f t="shared" si="7"/>
        <v>-71994</v>
      </c>
      <c r="AQ59" s="243">
        <f t="shared" si="8"/>
        <v>213368</v>
      </c>
    </row>
    <row r="60" spans="1:43">
      <c r="A60" s="61">
        <v>2330</v>
      </c>
      <c r="B60" s="62" t="s">
        <v>52</v>
      </c>
      <c r="C60" s="85">
        <f>_xlfn.XLOOKUP($A60,'Change in Proportion Calc'!$A$5:$A$311,'Change in Proportion Calc'!L$5:L$311,,0,)</f>
        <v>62833</v>
      </c>
      <c r="D60" s="85">
        <f>_xlfn.XLOOKUP($A60,'Change in Proportion Calc'!$A$5:$A$311,'Change in Proportion Calc'!M$5:M$311,,0,)</f>
        <v>62833</v>
      </c>
      <c r="E60" s="85">
        <f>_xlfn.XLOOKUP($A60,'Change in Proportion Calc'!$A$5:$A$311,'Change in Proportion Calc'!N$5:N$311,,0,)</f>
        <v>62833</v>
      </c>
      <c r="F60" s="85">
        <f>_xlfn.XLOOKUP($A60,'Change in Proportion Calc'!$A$5:$A$311,'Change in Proportion Calc'!O$5:O$311,,0,)</f>
        <v>62833</v>
      </c>
      <c r="G60" s="85">
        <f>_xlfn.XLOOKUP($A60,'Change in Proportion Calc'!$A$5:$A$311,'Change in Proportion Calc'!P$5:P$311,,0,)</f>
        <v>58436</v>
      </c>
      <c r="H60" s="228"/>
      <c r="I60" s="85">
        <v>-338937</v>
      </c>
      <c r="J60" s="85">
        <v>-338937</v>
      </c>
      <c r="K60" s="85">
        <v>-338937</v>
      </c>
      <c r="L60" s="85">
        <v>-338937</v>
      </c>
      <c r="M60" s="85">
        <v>-294873</v>
      </c>
      <c r="N60" s="85"/>
      <c r="O60" s="85">
        <v>90479</v>
      </c>
      <c r="P60" s="85">
        <v>90479</v>
      </c>
      <c r="Q60" s="85">
        <v>90479</v>
      </c>
      <c r="R60" s="85">
        <v>80526</v>
      </c>
      <c r="S60" s="228"/>
      <c r="T60" s="85">
        <v>-164490</v>
      </c>
      <c r="U60" s="85">
        <v>-164490</v>
      </c>
      <c r="V60" s="85">
        <v>-161198</v>
      </c>
      <c r="W60" s="228"/>
      <c r="X60" s="243">
        <v>-49289</v>
      </c>
      <c r="Y60" s="244">
        <v>-48302</v>
      </c>
      <c r="Z60" s="62"/>
      <c r="AA60" s="141">
        <v>-487299</v>
      </c>
      <c r="AD60" s="244">
        <f>VLOOKUP(A60,'Change in Proportion Calc'!$A$5:$H$311,8,FALSE)+SUMIF($C$5:$AB$5,2025,C60:AB60)</f>
        <v>-886703</v>
      </c>
      <c r="AF60" s="243">
        <f t="shared" si="0"/>
        <v>571252</v>
      </c>
      <c r="AG60" s="243">
        <f t="shared" si="1"/>
        <v>1685674</v>
      </c>
      <c r="AI60" s="243">
        <f>VLOOKUP(A60,'OPEB Amounts_Report'!$A$10:$G$324,7,FALSE)</f>
        <v>571252</v>
      </c>
      <c r="AJ60" s="244">
        <f t="shared" si="2"/>
        <v>0</v>
      </c>
      <c r="AK60" s="244"/>
      <c r="AL60" s="354">
        <f t="shared" si="3"/>
        <v>2330</v>
      </c>
      <c r="AM60" s="243">
        <f t="shared" si="4"/>
        <v>-398417</v>
      </c>
      <c r="AN60" s="243">
        <f t="shared" si="5"/>
        <v>-346823</v>
      </c>
      <c r="AO60" s="243">
        <f t="shared" si="6"/>
        <v>-195578</v>
      </c>
      <c r="AP60" s="243">
        <f t="shared" si="7"/>
        <v>-232040</v>
      </c>
      <c r="AQ60" s="243">
        <f t="shared" si="8"/>
        <v>58436</v>
      </c>
    </row>
    <row r="61" spans="1:43">
      <c r="A61" s="59">
        <v>2380</v>
      </c>
      <c r="B61" s="63" t="s">
        <v>53</v>
      </c>
      <c r="C61" s="85">
        <f>_xlfn.XLOOKUP($A61,'Change in Proportion Calc'!$A$5:$A$311,'Change in Proportion Calc'!L$5:L$311,,0,)</f>
        <v>25013</v>
      </c>
      <c r="D61" s="85">
        <f>_xlfn.XLOOKUP($A61,'Change in Proportion Calc'!$A$5:$A$311,'Change in Proportion Calc'!M$5:M$311,,0,)</f>
        <v>25013</v>
      </c>
      <c r="E61" s="85">
        <f>_xlfn.XLOOKUP($A61,'Change in Proportion Calc'!$A$5:$A$311,'Change in Proportion Calc'!N$5:N$311,,0,)</f>
        <v>25013</v>
      </c>
      <c r="F61" s="85">
        <f>_xlfn.XLOOKUP($A61,'Change in Proportion Calc'!$A$5:$A$311,'Change in Proportion Calc'!O$5:O$311,,0,)</f>
        <v>25013</v>
      </c>
      <c r="G61" s="85">
        <f>_xlfn.XLOOKUP($A61,'Change in Proportion Calc'!$A$5:$A$311,'Change in Proportion Calc'!P$5:P$311,,0,)</f>
        <v>23261</v>
      </c>
      <c r="H61" s="228"/>
      <c r="I61" s="85">
        <v>15333</v>
      </c>
      <c r="J61" s="85">
        <v>15333</v>
      </c>
      <c r="K61" s="85">
        <v>15333</v>
      </c>
      <c r="L61" s="85">
        <v>15333</v>
      </c>
      <c r="M61" s="85">
        <v>13339</v>
      </c>
      <c r="N61" s="85"/>
      <c r="O61" s="85">
        <v>26163</v>
      </c>
      <c r="P61" s="85">
        <v>26163</v>
      </c>
      <c r="Q61" s="85">
        <v>26163</v>
      </c>
      <c r="R61" s="85">
        <v>23283</v>
      </c>
      <c r="S61" s="228"/>
      <c r="T61" s="85">
        <v>56693</v>
      </c>
      <c r="U61" s="85">
        <v>56693</v>
      </c>
      <c r="V61" s="85">
        <v>55557</v>
      </c>
      <c r="W61" s="228"/>
      <c r="X61" s="243">
        <v>65174</v>
      </c>
      <c r="Y61" s="244">
        <v>63873</v>
      </c>
      <c r="Z61" s="62"/>
      <c r="AA61" s="141">
        <v>48246</v>
      </c>
      <c r="AD61" s="244">
        <f>VLOOKUP(A61,'Change in Proportion Calc'!$A$5:$H$311,8,FALSE)+SUMIF($C$5:$AB$5,2025,C61:AB61)</f>
        <v>236622</v>
      </c>
      <c r="AF61" s="243">
        <f t="shared" si="0"/>
        <v>434383</v>
      </c>
      <c r="AG61" s="243">
        <f t="shared" si="1"/>
        <v>0</v>
      </c>
      <c r="AI61" s="243">
        <f>VLOOKUP(A61,'OPEB Amounts_Report'!$A$10:$G$324,7,FALSE)</f>
        <v>434383</v>
      </c>
      <c r="AJ61" s="244">
        <f t="shared" si="2"/>
        <v>0</v>
      </c>
      <c r="AK61" s="244"/>
      <c r="AL61" s="354">
        <f t="shared" si="3"/>
        <v>2380</v>
      </c>
      <c r="AM61" s="243">
        <f t="shared" si="4"/>
        <v>187075</v>
      </c>
      <c r="AN61" s="243">
        <f t="shared" si="5"/>
        <v>122066</v>
      </c>
      <c r="AO61" s="243">
        <f t="shared" si="6"/>
        <v>63629</v>
      </c>
      <c r="AP61" s="243">
        <f t="shared" si="7"/>
        <v>38352</v>
      </c>
      <c r="AQ61" s="243">
        <f t="shared" si="8"/>
        <v>23261</v>
      </c>
    </row>
    <row r="62" spans="1:43">
      <c r="A62" s="61">
        <v>2400</v>
      </c>
      <c r="B62" s="62" t="s">
        <v>54</v>
      </c>
      <c r="C62" s="85">
        <f>_xlfn.XLOOKUP($A62,'Change in Proportion Calc'!$A$5:$A$311,'Change in Proportion Calc'!L$5:L$311,,0,)</f>
        <v>498653</v>
      </c>
      <c r="D62" s="85">
        <f>_xlfn.XLOOKUP($A62,'Change in Proportion Calc'!$A$5:$A$311,'Change in Proportion Calc'!M$5:M$311,,0,)</f>
        <v>498653</v>
      </c>
      <c r="E62" s="85">
        <f>_xlfn.XLOOKUP($A62,'Change in Proportion Calc'!$A$5:$A$311,'Change in Proportion Calc'!N$5:N$311,,0,)</f>
        <v>498653</v>
      </c>
      <c r="F62" s="85">
        <f>_xlfn.XLOOKUP($A62,'Change in Proportion Calc'!$A$5:$A$311,'Change in Proportion Calc'!O$5:O$311,,0,)</f>
        <v>498653</v>
      </c>
      <c r="G62" s="85">
        <f>_xlfn.XLOOKUP($A62,'Change in Proportion Calc'!$A$5:$A$311,'Change in Proportion Calc'!P$5:P$311,,0,)</f>
        <v>463749</v>
      </c>
      <c r="H62" s="228"/>
      <c r="I62" s="85">
        <v>-549271</v>
      </c>
      <c r="J62" s="85">
        <v>-549271</v>
      </c>
      <c r="K62" s="85">
        <v>-549271</v>
      </c>
      <c r="L62" s="85">
        <v>-549271</v>
      </c>
      <c r="M62" s="85">
        <v>-477868</v>
      </c>
      <c r="N62" s="85"/>
      <c r="O62" s="85">
        <v>-98683</v>
      </c>
      <c r="P62" s="85">
        <v>-98683</v>
      </c>
      <c r="Q62" s="85">
        <v>-98683</v>
      </c>
      <c r="R62" s="85">
        <v>-87826</v>
      </c>
      <c r="S62" s="228"/>
      <c r="T62" s="85">
        <v>120027</v>
      </c>
      <c r="U62" s="85">
        <v>120027</v>
      </c>
      <c r="V62" s="85">
        <v>117624</v>
      </c>
      <c r="W62" s="228"/>
      <c r="X62" s="243">
        <v>-1078516</v>
      </c>
      <c r="Y62" s="244">
        <v>-1056944</v>
      </c>
      <c r="Z62" s="62"/>
      <c r="AA62" s="141">
        <v>870037</v>
      </c>
      <c r="AD62" s="244">
        <f>VLOOKUP(A62,'Change in Proportion Calc'!$A$5:$H$311,8,FALSE)+SUMIF($C$5:$AB$5,2025,C62:AB62)</f>
        <v>-237753</v>
      </c>
      <c r="AF62" s="243">
        <f t="shared" si="0"/>
        <v>2696012</v>
      </c>
      <c r="AG62" s="243">
        <f t="shared" si="1"/>
        <v>3467817</v>
      </c>
      <c r="AI62" s="243">
        <f>VLOOKUP(A62,'OPEB Amounts_Report'!$A$10:$G$324,7,FALSE)</f>
        <v>2696012</v>
      </c>
      <c r="AJ62" s="244">
        <f t="shared" si="2"/>
        <v>0</v>
      </c>
      <c r="AK62" s="244"/>
      <c r="AL62" s="354">
        <f t="shared" si="3"/>
        <v>2400</v>
      </c>
      <c r="AM62" s="243">
        <f t="shared" si="4"/>
        <v>-1086218</v>
      </c>
      <c r="AN62" s="243">
        <f t="shared" si="5"/>
        <v>-31677</v>
      </c>
      <c r="AO62" s="243">
        <f t="shared" si="6"/>
        <v>-138444</v>
      </c>
      <c r="AP62" s="243">
        <f t="shared" si="7"/>
        <v>20785</v>
      </c>
      <c r="AQ62" s="243">
        <f t="shared" si="8"/>
        <v>463749</v>
      </c>
    </row>
    <row r="63" spans="1:43">
      <c r="A63" s="59">
        <v>2410</v>
      </c>
      <c r="B63" s="63" t="s">
        <v>55</v>
      </c>
      <c r="C63" s="85">
        <f>_xlfn.XLOOKUP($A63,'Change in Proportion Calc'!$A$5:$A$311,'Change in Proportion Calc'!L$5:L$311,,0,)</f>
        <v>-71794</v>
      </c>
      <c r="D63" s="85">
        <f>_xlfn.XLOOKUP($A63,'Change in Proportion Calc'!$A$5:$A$311,'Change in Proportion Calc'!M$5:M$311,,0,)</f>
        <v>-71794</v>
      </c>
      <c r="E63" s="85">
        <f>_xlfn.XLOOKUP($A63,'Change in Proportion Calc'!$A$5:$A$311,'Change in Proportion Calc'!N$5:N$311,,0,)</f>
        <v>-71794</v>
      </c>
      <c r="F63" s="85">
        <f>_xlfn.XLOOKUP($A63,'Change in Proportion Calc'!$A$5:$A$311,'Change in Proportion Calc'!O$5:O$311,,0,)</f>
        <v>-71794</v>
      </c>
      <c r="G63" s="85">
        <f>_xlfn.XLOOKUP($A63,'Change in Proportion Calc'!$A$5:$A$311,'Change in Proportion Calc'!P$5:P$311,,0,)</f>
        <v>-66769</v>
      </c>
      <c r="H63" s="228"/>
      <c r="I63" s="85">
        <v>-143927</v>
      </c>
      <c r="J63" s="85">
        <v>-143927</v>
      </c>
      <c r="K63" s="85">
        <v>-143927</v>
      </c>
      <c r="L63" s="85">
        <v>-143927</v>
      </c>
      <c r="M63" s="85">
        <v>-125216</v>
      </c>
      <c r="N63" s="85"/>
      <c r="O63" s="85">
        <v>-9609</v>
      </c>
      <c r="P63" s="85">
        <v>-9609</v>
      </c>
      <c r="Q63" s="85">
        <v>-9609</v>
      </c>
      <c r="R63" s="85">
        <v>-8553</v>
      </c>
      <c r="S63" s="228"/>
      <c r="T63" s="85">
        <v>38146</v>
      </c>
      <c r="U63" s="85">
        <v>38146</v>
      </c>
      <c r="V63" s="85">
        <v>37383</v>
      </c>
      <c r="W63" s="228"/>
      <c r="X63" s="243">
        <v>98835</v>
      </c>
      <c r="Y63" s="244">
        <v>96860</v>
      </c>
      <c r="Z63" s="62"/>
      <c r="AA63" s="141">
        <v>-233714</v>
      </c>
      <c r="AD63" s="244">
        <f>VLOOKUP(A63,'Change in Proportion Calc'!$A$5:$H$311,8,FALSE)+SUMIF($C$5:$AB$5,2025,C63:AB63)</f>
        <v>-322063</v>
      </c>
      <c r="AF63" s="243">
        <f t="shared" si="0"/>
        <v>172389</v>
      </c>
      <c r="AG63" s="243">
        <f t="shared" si="1"/>
        <v>938713</v>
      </c>
      <c r="AI63" s="243">
        <f>VLOOKUP(A63,'OPEB Amounts_Report'!$A$10:$G$324,7,FALSE)</f>
        <v>172389</v>
      </c>
      <c r="AJ63" s="244">
        <f t="shared" si="2"/>
        <v>0</v>
      </c>
      <c r="AK63" s="244"/>
      <c r="AL63" s="354">
        <f t="shared" si="3"/>
        <v>2410</v>
      </c>
      <c r="AM63" s="243">
        <f t="shared" si="4"/>
        <v>-90324</v>
      </c>
      <c r="AN63" s="243">
        <f t="shared" si="5"/>
        <v>-187947</v>
      </c>
      <c r="AO63" s="243">
        <f t="shared" si="6"/>
        <v>-224274</v>
      </c>
      <c r="AP63" s="243">
        <f t="shared" si="7"/>
        <v>-197010</v>
      </c>
      <c r="AQ63" s="243">
        <f t="shared" si="8"/>
        <v>-66769</v>
      </c>
    </row>
    <row r="64" spans="1:43">
      <c r="A64" s="61">
        <v>2500</v>
      </c>
      <c r="B64" s="62" t="s">
        <v>56</v>
      </c>
      <c r="C64" s="85">
        <f>_xlfn.XLOOKUP($A64,'Change in Proportion Calc'!$A$5:$A$311,'Change in Proportion Calc'!L$5:L$311,,0,)</f>
        <v>-25696</v>
      </c>
      <c r="D64" s="85">
        <f>_xlfn.XLOOKUP($A64,'Change in Proportion Calc'!$A$5:$A$311,'Change in Proportion Calc'!M$5:M$311,,0,)</f>
        <v>-25696</v>
      </c>
      <c r="E64" s="85">
        <f>_xlfn.XLOOKUP($A64,'Change in Proportion Calc'!$A$5:$A$311,'Change in Proportion Calc'!N$5:N$311,,0,)</f>
        <v>-25696</v>
      </c>
      <c r="F64" s="85">
        <f>_xlfn.XLOOKUP($A64,'Change in Proportion Calc'!$A$5:$A$311,'Change in Proportion Calc'!O$5:O$311,,0,)</f>
        <v>-25696</v>
      </c>
      <c r="G64" s="85">
        <f>_xlfn.XLOOKUP($A64,'Change in Proportion Calc'!$A$5:$A$311,'Change in Proportion Calc'!P$5:P$311,,0,)</f>
        <v>-23898</v>
      </c>
      <c r="H64" s="228"/>
      <c r="I64" s="85">
        <v>18053</v>
      </c>
      <c r="J64" s="85">
        <v>18053</v>
      </c>
      <c r="K64" s="85">
        <v>18053</v>
      </c>
      <c r="L64" s="85">
        <v>18053</v>
      </c>
      <c r="M64" s="85">
        <v>15704</v>
      </c>
      <c r="N64" s="85"/>
      <c r="O64" s="85">
        <v>20243</v>
      </c>
      <c r="P64" s="85">
        <v>20243</v>
      </c>
      <c r="Q64" s="85">
        <v>20243</v>
      </c>
      <c r="R64" s="85">
        <v>18016</v>
      </c>
      <c r="S64" s="228"/>
      <c r="T64" s="85">
        <v>5102</v>
      </c>
      <c r="U64" s="85">
        <v>5102</v>
      </c>
      <c r="V64" s="85">
        <v>5002</v>
      </c>
      <c r="W64" s="228"/>
      <c r="X64" s="243">
        <v>-12194</v>
      </c>
      <c r="Y64" s="244">
        <v>-11948</v>
      </c>
      <c r="Z64" s="62"/>
      <c r="AA64" s="141">
        <v>-31169</v>
      </c>
      <c r="AD64" s="244">
        <f>VLOOKUP(A64,'Change in Proportion Calc'!$A$5:$H$311,8,FALSE)+SUMIF($C$5:$AB$5,2025,C64:AB64)</f>
        <v>-25661</v>
      </c>
      <c r="AF64" s="243">
        <f t="shared" si="0"/>
        <v>138469</v>
      </c>
      <c r="AG64" s="243">
        <f t="shared" si="1"/>
        <v>138630</v>
      </c>
      <c r="AI64" s="243">
        <f>VLOOKUP(A64,'OPEB Amounts_Report'!$A$10:$G$324,7,FALSE)</f>
        <v>138469</v>
      </c>
      <c r="AJ64" s="244">
        <f t="shared" si="2"/>
        <v>0</v>
      </c>
      <c r="AK64" s="244"/>
      <c r="AL64" s="354">
        <f t="shared" si="3"/>
        <v>2500</v>
      </c>
      <c r="AM64" s="243">
        <f t="shared" si="4"/>
        <v>5754</v>
      </c>
      <c r="AN64" s="243">
        <f t="shared" si="5"/>
        <v>17602</v>
      </c>
      <c r="AO64" s="243">
        <f t="shared" si="6"/>
        <v>10373</v>
      </c>
      <c r="AP64" s="243">
        <f t="shared" si="7"/>
        <v>-9992</v>
      </c>
      <c r="AQ64" s="243">
        <f t="shared" si="8"/>
        <v>-23898</v>
      </c>
    </row>
    <row r="65" spans="1:43">
      <c r="A65" s="59">
        <v>2550</v>
      </c>
      <c r="B65" s="63" t="s">
        <v>57</v>
      </c>
      <c r="C65" s="85">
        <f>_xlfn.XLOOKUP($A65,'Change in Proportion Calc'!$A$5:$A$311,'Change in Proportion Calc'!L$5:L$311,,0,)</f>
        <v>-26017</v>
      </c>
      <c r="D65" s="85">
        <f>_xlfn.XLOOKUP($A65,'Change in Proportion Calc'!$A$5:$A$311,'Change in Proportion Calc'!M$5:M$311,,0,)</f>
        <v>-26017</v>
      </c>
      <c r="E65" s="85">
        <f>_xlfn.XLOOKUP($A65,'Change in Proportion Calc'!$A$5:$A$311,'Change in Proportion Calc'!N$5:N$311,,0,)</f>
        <v>-26017</v>
      </c>
      <c r="F65" s="85">
        <f>_xlfn.XLOOKUP($A65,'Change in Proportion Calc'!$A$5:$A$311,'Change in Proportion Calc'!O$5:O$311,,0,)</f>
        <v>-26017</v>
      </c>
      <c r="G65" s="85">
        <f>_xlfn.XLOOKUP($A65,'Change in Proportion Calc'!$A$5:$A$311,'Change in Proportion Calc'!P$5:P$311,,0,)</f>
        <v>-24195</v>
      </c>
      <c r="H65" s="228"/>
      <c r="I65" s="85">
        <v>-21494</v>
      </c>
      <c r="J65" s="85">
        <v>-21494</v>
      </c>
      <c r="K65" s="85">
        <v>-21494</v>
      </c>
      <c r="L65" s="85">
        <v>-21494</v>
      </c>
      <c r="M65" s="85">
        <v>-18699</v>
      </c>
      <c r="N65" s="85"/>
      <c r="O65" s="85">
        <v>-7516</v>
      </c>
      <c r="P65" s="85">
        <v>-7516</v>
      </c>
      <c r="Q65" s="85">
        <v>-7516</v>
      </c>
      <c r="R65" s="85">
        <v>-6687</v>
      </c>
      <c r="S65" s="228"/>
      <c r="T65" s="85">
        <v>-13039</v>
      </c>
      <c r="U65" s="85">
        <v>-13039</v>
      </c>
      <c r="V65" s="85">
        <v>-12780</v>
      </c>
      <c r="W65" s="228"/>
      <c r="X65" s="243">
        <v>-55643</v>
      </c>
      <c r="Y65" s="244">
        <v>-54531</v>
      </c>
      <c r="Z65" s="62"/>
      <c r="AA65" s="141">
        <v>-41539</v>
      </c>
      <c r="AD65" s="244">
        <f>VLOOKUP(A65,'Change in Proportion Calc'!$A$5:$H$311,8,FALSE)+SUMIF($C$5:$AB$5,2025,C65:AB65)</f>
        <v>-165248</v>
      </c>
      <c r="AF65" s="243">
        <f t="shared" si="0"/>
        <v>0</v>
      </c>
      <c r="AG65" s="243">
        <f t="shared" si="1"/>
        <v>313513</v>
      </c>
      <c r="AI65" s="243">
        <f>VLOOKUP(A65,'OPEB Amounts_Report'!$A$10:$G$324,7,FALSE)</f>
        <v>0</v>
      </c>
      <c r="AJ65" s="244">
        <f t="shared" si="2"/>
        <v>0</v>
      </c>
      <c r="AK65" s="244"/>
      <c r="AL65" s="354">
        <f t="shared" si="3"/>
        <v>2550</v>
      </c>
      <c r="AM65" s="243">
        <f t="shared" si="4"/>
        <v>-122597</v>
      </c>
      <c r="AN65" s="243">
        <f t="shared" si="5"/>
        <v>-67807</v>
      </c>
      <c r="AO65" s="243">
        <f t="shared" si="6"/>
        <v>-54198</v>
      </c>
      <c r="AP65" s="243">
        <f t="shared" si="7"/>
        <v>-44716</v>
      </c>
      <c r="AQ65" s="243">
        <f t="shared" si="8"/>
        <v>-24195</v>
      </c>
    </row>
    <row r="66" spans="1:43">
      <c r="A66" s="61">
        <v>2570</v>
      </c>
      <c r="B66" s="62" t="s">
        <v>58</v>
      </c>
      <c r="C66" s="85">
        <f>_xlfn.XLOOKUP($A66,'Change in Proportion Calc'!$A$5:$A$311,'Change in Proportion Calc'!L$5:L$311,,0,)</f>
        <v>7581</v>
      </c>
      <c r="D66" s="85">
        <f>_xlfn.XLOOKUP($A66,'Change in Proportion Calc'!$A$5:$A$311,'Change in Proportion Calc'!M$5:M$311,,0,)</f>
        <v>7581</v>
      </c>
      <c r="E66" s="85">
        <f>_xlfn.XLOOKUP($A66,'Change in Proportion Calc'!$A$5:$A$311,'Change in Proportion Calc'!N$5:N$311,,0,)</f>
        <v>7581</v>
      </c>
      <c r="F66" s="85">
        <f>_xlfn.XLOOKUP($A66,'Change in Proportion Calc'!$A$5:$A$311,'Change in Proportion Calc'!O$5:O$311,,0,)</f>
        <v>7581</v>
      </c>
      <c r="G66" s="85">
        <f>_xlfn.XLOOKUP($A66,'Change in Proportion Calc'!$A$5:$A$311,'Change in Proportion Calc'!P$5:P$311,,0,)</f>
        <v>7051</v>
      </c>
      <c r="H66" s="228"/>
      <c r="I66" s="85">
        <v>-32290</v>
      </c>
      <c r="J66" s="85">
        <v>-32290</v>
      </c>
      <c r="K66" s="85">
        <v>-32290</v>
      </c>
      <c r="L66" s="85">
        <v>-32290</v>
      </c>
      <c r="M66" s="85">
        <v>-28090</v>
      </c>
      <c r="N66" s="85"/>
      <c r="O66" s="85">
        <v>-22433</v>
      </c>
      <c r="P66" s="85">
        <v>-22433</v>
      </c>
      <c r="Q66" s="85">
        <v>-22433</v>
      </c>
      <c r="R66" s="85">
        <v>-19966</v>
      </c>
      <c r="S66" s="228"/>
      <c r="T66" s="85">
        <v>-8747</v>
      </c>
      <c r="U66" s="85">
        <v>-8747</v>
      </c>
      <c r="V66" s="85">
        <v>-8571</v>
      </c>
      <c r="W66" s="228"/>
      <c r="X66" s="243">
        <v>-34519</v>
      </c>
      <c r="Y66" s="244">
        <v>-33831</v>
      </c>
      <c r="Z66" s="62"/>
      <c r="AA66" s="141">
        <v>-18129</v>
      </c>
      <c r="AD66" s="244">
        <f>VLOOKUP(A66,'Change in Proportion Calc'!$A$5:$H$311,8,FALSE)+SUMIF($C$5:$AB$5,2025,C66:AB66)</f>
        <v>-108537</v>
      </c>
      <c r="AF66" s="243">
        <f t="shared" si="0"/>
        <v>37375</v>
      </c>
      <c r="AG66" s="243">
        <f t="shared" si="1"/>
        <v>240941</v>
      </c>
      <c r="AI66" s="243">
        <f>VLOOKUP(A66,'OPEB Amounts_Report'!$A$10:$G$324,7,FALSE)</f>
        <v>37375</v>
      </c>
      <c r="AJ66" s="244">
        <f t="shared" si="2"/>
        <v>0</v>
      </c>
      <c r="AK66" s="244"/>
      <c r="AL66" s="354">
        <f t="shared" si="3"/>
        <v>2570</v>
      </c>
      <c r="AM66" s="243">
        <f t="shared" si="4"/>
        <v>-89720</v>
      </c>
      <c r="AN66" s="243">
        <f t="shared" si="5"/>
        <v>-55713</v>
      </c>
      <c r="AO66" s="243">
        <f t="shared" si="6"/>
        <v>-44675</v>
      </c>
      <c r="AP66" s="243">
        <f t="shared" si="7"/>
        <v>-20509</v>
      </c>
      <c r="AQ66" s="243">
        <f t="shared" si="8"/>
        <v>7051</v>
      </c>
    </row>
    <row r="67" spans="1:43">
      <c r="A67" s="59">
        <v>2620</v>
      </c>
      <c r="B67" s="63" t="s">
        <v>59</v>
      </c>
      <c r="C67" s="85">
        <f>_xlfn.XLOOKUP($A67,'Change in Proportion Calc'!$A$5:$A$311,'Change in Proportion Calc'!L$5:L$311,,0,)</f>
        <v>373552</v>
      </c>
      <c r="D67" s="85">
        <f>_xlfn.XLOOKUP($A67,'Change in Proportion Calc'!$A$5:$A$311,'Change in Proportion Calc'!M$5:M$311,,0,)</f>
        <v>373552</v>
      </c>
      <c r="E67" s="85">
        <f>_xlfn.XLOOKUP($A67,'Change in Proportion Calc'!$A$5:$A$311,'Change in Proportion Calc'!N$5:N$311,,0,)</f>
        <v>373552</v>
      </c>
      <c r="F67" s="85">
        <f>_xlfn.XLOOKUP($A67,'Change in Proportion Calc'!$A$5:$A$311,'Change in Proportion Calc'!O$5:O$311,,0,)</f>
        <v>373552</v>
      </c>
      <c r="G67" s="85">
        <f>_xlfn.XLOOKUP($A67,'Change in Proportion Calc'!$A$5:$A$311,'Change in Proportion Calc'!P$5:P$311,,0,)</f>
        <v>347401</v>
      </c>
      <c r="H67" s="228"/>
      <c r="I67" s="85">
        <v>-283487</v>
      </c>
      <c r="J67" s="85">
        <v>-283487</v>
      </c>
      <c r="K67" s="85">
        <v>-283487</v>
      </c>
      <c r="L67" s="85">
        <v>-283487</v>
      </c>
      <c r="M67" s="85">
        <v>-246633</v>
      </c>
      <c r="N67" s="85"/>
      <c r="O67" s="85">
        <v>-102976</v>
      </c>
      <c r="P67" s="85">
        <v>-102976</v>
      </c>
      <c r="Q67" s="85">
        <v>-102976</v>
      </c>
      <c r="R67" s="85">
        <v>-91647</v>
      </c>
      <c r="S67" s="228"/>
      <c r="T67" s="85">
        <v>-125777</v>
      </c>
      <c r="U67" s="85">
        <v>-125777</v>
      </c>
      <c r="V67" s="85">
        <v>-123259</v>
      </c>
      <c r="W67" s="228"/>
      <c r="X67" s="243">
        <v>140224</v>
      </c>
      <c r="Y67" s="244">
        <v>137421</v>
      </c>
      <c r="Z67" s="62"/>
      <c r="AA67" s="141">
        <v>-57994</v>
      </c>
      <c r="AD67" s="244">
        <f>VLOOKUP(A67,'Change in Proportion Calc'!$A$5:$H$311,8,FALSE)+SUMIF($C$5:$AB$5,2025,C67:AB67)</f>
        <v>-56458</v>
      </c>
      <c r="AF67" s="243">
        <f t="shared" si="0"/>
        <v>1979030</v>
      </c>
      <c r="AG67" s="243">
        <f t="shared" si="1"/>
        <v>1643729</v>
      </c>
      <c r="AI67" s="243">
        <f>VLOOKUP(A67,'OPEB Amounts_Report'!$A$10:$G$324,7,FALSE)</f>
        <v>1979030</v>
      </c>
      <c r="AJ67" s="244">
        <f t="shared" si="2"/>
        <v>0</v>
      </c>
      <c r="AK67" s="244"/>
      <c r="AL67" s="354">
        <f t="shared" si="3"/>
        <v>2620</v>
      </c>
      <c r="AM67" s="243">
        <f t="shared" si="4"/>
        <v>-1267</v>
      </c>
      <c r="AN67" s="243">
        <f t="shared" si="5"/>
        <v>-136170</v>
      </c>
      <c r="AO67" s="243">
        <f t="shared" si="6"/>
        <v>-1582</v>
      </c>
      <c r="AP67" s="243">
        <f t="shared" si="7"/>
        <v>126919</v>
      </c>
      <c r="AQ67" s="243">
        <f t="shared" si="8"/>
        <v>347401</v>
      </c>
    </row>
    <row r="68" spans="1:43">
      <c r="A68" s="61">
        <v>2630</v>
      </c>
      <c r="B68" s="62" t="s">
        <v>60</v>
      </c>
      <c r="C68" s="85">
        <f>_xlfn.XLOOKUP($A68,'Change in Proportion Calc'!$A$5:$A$311,'Change in Proportion Calc'!L$5:L$311,,0,)</f>
        <v>-286451</v>
      </c>
      <c r="D68" s="85">
        <f>_xlfn.XLOOKUP($A68,'Change in Proportion Calc'!$A$5:$A$311,'Change in Proportion Calc'!M$5:M$311,,0,)</f>
        <v>-286451</v>
      </c>
      <c r="E68" s="85">
        <f>_xlfn.XLOOKUP($A68,'Change in Proportion Calc'!$A$5:$A$311,'Change in Proportion Calc'!N$5:N$311,,0,)</f>
        <v>-286451</v>
      </c>
      <c r="F68" s="85">
        <f>_xlfn.XLOOKUP($A68,'Change in Proportion Calc'!$A$5:$A$311,'Change in Proportion Calc'!O$5:O$311,,0,)</f>
        <v>-286451</v>
      </c>
      <c r="G68" s="85">
        <f>_xlfn.XLOOKUP($A68,'Change in Proportion Calc'!$A$5:$A$311,'Change in Proportion Calc'!P$5:P$311,,0,)</f>
        <v>-266399</v>
      </c>
      <c r="H68" s="228"/>
      <c r="I68" s="85">
        <v>-164835</v>
      </c>
      <c r="J68" s="85">
        <v>-164835</v>
      </c>
      <c r="K68" s="85">
        <v>-164835</v>
      </c>
      <c r="L68" s="85">
        <v>-164835</v>
      </c>
      <c r="M68" s="85">
        <v>-143408</v>
      </c>
      <c r="N68" s="85"/>
      <c r="O68" s="85">
        <v>367762</v>
      </c>
      <c r="P68" s="85">
        <v>367762</v>
      </c>
      <c r="Q68" s="85">
        <v>367762</v>
      </c>
      <c r="R68" s="85">
        <v>327307</v>
      </c>
      <c r="S68" s="228"/>
      <c r="T68" s="85">
        <v>-158820</v>
      </c>
      <c r="U68" s="85">
        <v>-158820</v>
      </c>
      <c r="V68" s="85">
        <v>-155646</v>
      </c>
      <c r="W68" s="228"/>
      <c r="X68" s="243">
        <v>-206000</v>
      </c>
      <c r="Y68" s="244">
        <v>-201880</v>
      </c>
      <c r="Z68" s="62"/>
      <c r="AA68" s="141">
        <v>96367</v>
      </c>
      <c r="AD68" s="244">
        <f>VLOOKUP(A68,'Change in Proportion Calc'!$A$5:$H$311,8,FALSE)+SUMIF($C$5:$AB$5,2025,C68:AB68)</f>
        <v>-351977</v>
      </c>
      <c r="AF68" s="243">
        <f t="shared" si="0"/>
        <v>1062831</v>
      </c>
      <c r="AG68" s="243">
        <f t="shared" si="1"/>
        <v>2566462</v>
      </c>
      <c r="AI68" s="243">
        <f>VLOOKUP(A68,'OPEB Amounts_Report'!$A$10:$G$324,7,FALSE)</f>
        <v>1062831</v>
      </c>
      <c r="AJ68" s="244">
        <f t="shared" si="2"/>
        <v>0</v>
      </c>
      <c r="AK68" s="244"/>
      <c r="AL68" s="354">
        <f t="shared" si="3"/>
        <v>2630</v>
      </c>
      <c r="AM68" s="243">
        <f t="shared" si="4"/>
        <v>-444224</v>
      </c>
      <c r="AN68" s="243">
        <f t="shared" si="5"/>
        <v>-239170</v>
      </c>
      <c r="AO68" s="243">
        <f t="shared" si="6"/>
        <v>-123979</v>
      </c>
      <c r="AP68" s="243">
        <f t="shared" si="7"/>
        <v>-429859</v>
      </c>
      <c r="AQ68" s="243">
        <f t="shared" si="8"/>
        <v>-266399</v>
      </c>
    </row>
    <row r="69" spans="1:43">
      <c r="A69" s="59">
        <v>2690</v>
      </c>
      <c r="B69" s="63" t="s">
        <v>61</v>
      </c>
      <c r="C69" s="85">
        <f>_xlfn.XLOOKUP($A69,'Change in Proportion Calc'!$A$5:$A$311,'Change in Proportion Calc'!L$5:L$311,,0,)</f>
        <v>-275997</v>
      </c>
      <c r="D69" s="85">
        <f>_xlfn.XLOOKUP($A69,'Change in Proportion Calc'!$A$5:$A$311,'Change in Proportion Calc'!M$5:M$311,,0,)</f>
        <v>-275997</v>
      </c>
      <c r="E69" s="85">
        <f>_xlfn.XLOOKUP($A69,'Change in Proportion Calc'!$A$5:$A$311,'Change in Proportion Calc'!N$5:N$311,,0,)</f>
        <v>-275997</v>
      </c>
      <c r="F69" s="85">
        <f>_xlfn.XLOOKUP($A69,'Change in Proportion Calc'!$A$5:$A$311,'Change in Proportion Calc'!O$5:O$311,,0,)</f>
        <v>-275997</v>
      </c>
      <c r="G69" s="85">
        <f>_xlfn.XLOOKUP($A69,'Change in Proportion Calc'!$A$5:$A$311,'Change in Proportion Calc'!P$5:P$311,,0,)</f>
        <v>-256677</v>
      </c>
      <c r="H69" s="228"/>
      <c r="I69" s="85">
        <v>322430</v>
      </c>
      <c r="J69" s="85">
        <v>322430</v>
      </c>
      <c r="K69" s="85">
        <v>322430</v>
      </c>
      <c r="L69" s="85">
        <v>322430</v>
      </c>
      <c r="M69" s="85">
        <v>280515</v>
      </c>
      <c r="N69" s="85"/>
      <c r="O69" s="85">
        <v>-122146</v>
      </c>
      <c r="P69" s="85">
        <v>-122146</v>
      </c>
      <c r="Q69" s="85">
        <v>-122146</v>
      </c>
      <c r="R69" s="85">
        <v>-108712</v>
      </c>
      <c r="S69" s="228"/>
      <c r="T69" s="85">
        <v>-985885</v>
      </c>
      <c r="U69" s="85">
        <v>-985885</v>
      </c>
      <c r="V69" s="85">
        <v>-966165</v>
      </c>
      <c r="W69" s="228"/>
      <c r="X69" s="243">
        <v>-759855</v>
      </c>
      <c r="Y69" s="244">
        <v>-744660</v>
      </c>
      <c r="Z69" s="62"/>
      <c r="AA69" s="141">
        <v>-463085</v>
      </c>
      <c r="AD69" s="244">
        <f>VLOOKUP(A69,'Change in Proportion Calc'!$A$5:$H$311,8,FALSE)+SUMIF($C$5:$AB$5,2025,C69:AB69)</f>
        <v>-2284538</v>
      </c>
      <c r="AF69" s="243">
        <f t="shared" si="0"/>
        <v>1247805</v>
      </c>
      <c r="AG69" s="243">
        <f t="shared" si="1"/>
        <v>4410379</v>
      </c>
      <c r="AI69" s="243">
        <f>VLOOKUP(A69,'OPEB Amounts_Report'!$A$10:$G$324,7,FALSE)</f>
        <v>1247805</v>
      </c>
      <c r="AJ69" s="244">
        <f t="shared" si="2"/>
        <v>0</v>
      </c>
      <c r="AK69" s="244"/>
      <c r="AL69" s="354">
        <f t="shared" si="3"/>
        <v>2690</v>
      </c>
      <c r="AM69" s="243">
        <f t="shared" si="4"/>
        <v>-1806258</v>
      </c>
      <c r="AN69" s="243">
        <f t="shared" si="5"/>
        <v>-1041878</v>
      </c>
      <c r="AO69" s="243">
        <f t="shared" si="6"/>
        <v>-62279</v>
      </c>
      <c r="AP69" s="243">
        <f t="shared" si="7"/>
        <v>4518</v>
      </c>
      <c r="AQ69" s="243">
        <f t="shared" si="8"/>
        <v>-256677</v>
      </c>
    </row>
    <row r="70" spans="1:43">
      <c r="A70" s="61">
        <v>2710</v>
      </c>
      <c r="B70" s="62" t="s">
        <v>62</v>
      </c>
      <c r="C70" s="85">
        <f>_xlfn.XLOOKUP($A70,'Change in Proportion Calc'!$A$5:$A$311,'Change in Proportion Calc'!L$5:L$311,,0,)</f>
        <v>-18507</v>
      </c>
      <c r="D70" s="85">
        <f>_xlfn.XLOOKUP($A70,'Change in Proportion Calc'!$A$5:$A$311,'Change in Proportion Calc'!M$5:M$311,,0,)</f>
        <v>-18507</v>
      </c>
      <c r="E70" s="85">
        <f>_xlfn.XLOOKUP($A70,'Change in Proportion Calc'!$A$5:$A$311,'Change in Proportion Calc'!N$5:N$311,,0,)</f>
        <v>-18507</v>
      </c>
      <c r="F70" s="85">
        <f>_xlfn.XLOOKUP($A70,'Change in Proportion Calc'!$A$5:$A$311,'Change in Proportion Calc'!O$5:O$311,,0,)</f>
        <v>-18507</v>
      </c>
      <c r="G70" s="85">
        <f>_xlfn.XLOOKUP($A70,'Change in Proportion Calc'!$A$5:$A$311,'Change in Proportion Calc'!P$5:P$311,,0,)</f>
        <v>-17212</v>
      </c>
      <c r="H70" s="228"/>
      <c r="I70" s="85">
        <v>-37888</v>
      </c>
      <c r="J70" s="85">
        <v>-37888</v>
      </c>
      <c r="K70" s="85">
        <v>-37888</v>
      </c>
      <c r="L70" s="85">
        <v>-37888</v>
      </c>
      <c r="M70" s="85">
        <v>-32962</v>
      </c>
      <c r="N70" s="85"/>
      <c r="O70" s="85">
        <v>-18074</v>
      </c>
      <c r="P70" s="85">
        <v>-18074</v>
      </c>
      <c r="Q70" s="85">
        <v>-18074</v>
      </c>
      <c r="R70" s="85">
        <v>-16088</v>
      </c>
      <c r="S70" s="228"/>
      <c r="T70" s="85">
        <v>-25836</v>
      </c>
      <c r="U70" s="85">
        <v>-25836</v>
      </c>
      <c r="V70" s="85">
        <v>-25317</v>
      </c>
      <c r="W70" s="228"/>
      <c r="X70" s="243">
        <v>-44652</v>
      </c>
      <c r="Y70" s="244">
        <v>-43758</v>
      </c>
      <c r="Z70" s="62"/>
      <c r="AA70" s="141">
        <v>-19560</v>
      </c>
      <c r="AD70" s="244">
        <f>VLOOKUP(A70,'Change in Proportion Calc'!$A$5:$H$311,8,FALSE)+SUMIF($C$5:$AB$5,2025,C70:AB70)</f>
        <v>-164517</v>
      </c>
      <c r="AF70" s="243">
        <f t="shared" si="0"/>
        <v>0</v>
      </c>
      <c r="AG70" s="243">
        <f t="shared" si="1"/>
        <v>385013</v>
      </c>
      <c r="AI70" s="243">
        <f>VLOOKUP(A70,'OPEB Amounts_Report'!$A$10:$G$324,7,FALSE)</f>
        <v>0</v>
      </c>
      <c r="AJ70" s="244">
        <f t="shared" si="2"/>
        <v>0</v>
      </c>
      <c r="AK70" s="244"/>
      <c r="AL70" s="354">
        <f t="shared" si="3"/>
        <v>2710</v>
      </c>
      <c r="AM70" s="243">
        <f t="shared" si="4"/>
        <v>-144063</v>
      </c>
      <c r="AN70" s="243">
        <f t="shared" si="5"/>
        <v>-99786</v>
      </c>
      <c r="AO70" s="243">
        <f t="shared" si="6"/>
        <v>-72483</v>
      </c>
      <c r="AP70" s="243">
        <f t="shared" si="7"/>
        <v>-51469</v>
      </c>
      <c r="AQ70" s="243">
        <f t="shared" si="8"/>
        <v>-17212</v>
      </c>
    </row>
    <row r="71" spans="1:43">
      <c r="A71" s="59">
        <v>2730</v>
      </c>
      <c r="B71" s="63" t="s">
        <v>63</v>
      </c>
      <c r="C71" s="85">
        <f>_xlfn.XLOOKUP($A71,'Change in Proportion Calc'!$A$5:$A$311,'Change in Proportion Calc'!L$5:L$311,,0,)</f>
        <v>48156</v>
      </c>
      <c r="D71" s="85">
        <f>_xlfn.XLOOKUP($A71,'Change in Proportion Calc'!$A$5:$A$311,'Change in Proportion Calc'!M$5:M$311,,0,)</f>
        <v>48156</v>
      </c>
      <c r="E71" s="85">
        <f>_xlfn.XLOOKUP($A71,'Change in Proportion Calc'!$A$5:$A$311,'Change in Proportion Calc'!N$5:N$311,,0,)</f>
        <v>48156</v>
      </c>
      <c r="F71" s="85">
        <f>_xlfn.XLOOKUP($A71,'Change in Proportion Calc'!$A$5:$A$311,'Change in Proportion Calc'!O$5:O$311,,0,)</f>
        <v>48156</v>
      </c>
      <c r="G71" s="85">
        <f>_xlfn.XLOOKUP($A71,'Change in Proportion Calc'!$A$5:$A$311,'Change in Proportion Calc'!P$5:P$311,,0,)</f>
        <v>44783</v>
      </c>
      <c r="H71" s="228"/>
      <c r="I71" s="85">
        <v>-1700</v>
      </c>
      <c r="J71" s="85">
        <v>-1700</v>
      </c>
      <c r="K71" s="85">
        <v>-1700</v>
      </c>
      <c r="L71" s="85">
        <v>-1700</v>
      </c>
      <c r="M71" s="85">
        <v>-1481</v>
      </c>
      <c r="N71" s="85"/>
      <c r="O71" s="85">
        <v>7827</v>
      </c>
      <c r="P71" s="85">
        <v>7827</v>
      </c>
      <c r="Q71" s="85">
        <v>7827</v>
      </c>
      <c r="R71" s="85">
        <v>6967</v>
      </c>
      <c r="S71" s="228"/>
      <c r="T71" s="85">
        <v>22839</v>
      </c>
      <c r="U71" s="85">
        <v>22839</v>
      </c>
      <c r="V71" s="85">
        <v>22382</v>
      </c>
      <c r="W71" s="228"/>
      <c r="X71" s="243">
        <v>-52809</v>
      </c>
      <c r="Y71" s="244">
        <v>-51755</v>
      </c>
      <c r="Z71" s="62"/>
      <c r="AA71" s="141">
        <v>-38870</v>
      </c>
      <c r="AD71" s="244">
        <f>VLOOKUP(A71,'Change in Proportion Calc'!$A$5:$H$311,8,FALSE)+SUMIF($C$5:$AB$5,2025,C71:AB71)</f>
        <v>-14557</v>
      </c>
      <c r="AF71" s="243">
        <f t="shared" si="0"/>
        <v>305249</v>
      </c>
      <c r="AG71" s="243">
        <f t="shared" si="1"/>
        <v>58336</v>
      </c>
      <c r="AI71" s="243">
        <f>VLOOKUP(A71,'OPEB Amounts_Report'!$A$10:$G$324,7,FALSE)</f>
        <v>305249</v>
      </c>
      <c r="AJ71" s="244">
        <f t="shared" si="2"/>
        <v>0</v>
      </c>
      <c r="AK71" s="244"/>
      <c r="AL71" s="354">
        <f t="shared" si="3"/>
        <v>2730</v>
      </c>
      <c r="AM71" s="243">
        <f t="shared" si="4"/>
        <v>25367</v>
      </c>
      <c r="AN71" s="243">
        <f t="shared" si="5"/>
        <v>76665</v>
      </c>
      <c r="AO71" s="243">
        <f t="shared" si="6"/>
        <v>53423</v>
      </c>
      <c r="AP71" s="243">
        <f t="shared" si="7"/>
        <v>46675</v>
      </c>
      <c r="AQ71" s="243">
        <f t="shared" si="8"/>
        <v>44783</v>
      </c>
    </row>
    <row r="72" spans="1:43">
      <c r="A72" s="61">
        <v>2950</v>
      </c>
      <c r="B72" s="62" t="s">
        <v>64</v>
      </c>
      <c r="C72" s="85">
        <f>_xlfn.XLOOKUP($A72,'Change in Proportion Calc'!$A$5:$A$311,'Change in Proportion Calc'!L$5:L$311,,0,)</f>
        <v>49868</v>
      </c>
      <c r="D72" s="85">
        <f>_xlfn.XLOOKUP($A72,'Change in Proportion Calc'!$A$5:$A$311,'Change in Proportion Calc'!M$5:M$311,,0,)</f>
        <v>49868</v>
      </c>
      <c r="E72" s="85">
        <f>_xlfn.XLOOKUP($A72,'Change in Proportion Calc'!$A$5:$A$311,'Change in Proportion Calc'!N$5:N$311,,0,)</f>
        <v>49868</v>
      </c>
      <c r="F72" s="85">
        <f>_xlfn.XLOOKUP($A72,'Change in Proportion Calc'!$A$5:$A$311,'Change in Proportion Calc'!O$5:O$311,,0,)</f>
        <v>49868</v>
      </c>
      <c r="G72" s="85">
        <f>_xlfn.XLOOKUP($A72,'Change in Proportion Calc'!$A$5:$A$311,'Change in Proportion Calc'!P$5:P$311,,0,)</f>
        <v>46377</v>
      </c>
      <c r="H72" s="228"/>
      <c r="I72" s="85">
        <v>-76998</v>
      </c>
      <c r="J72" s="85">
        <v>-76998</v>
      </c>
      <c r="K72" s="85">
        <v>-76998</v>
      </c>
      <c r="L72" s="85">
        <v>-76998</v>
      </c>
      <c r="M72" s="85">
        <v>-66989</v>
      </c>
      <c r="N72" s="85"/>
      <c r="O72" s="85">
        <v>-12109</v>
      </c>
      <c r="P72" s="85">
        <v>-12109</v>
      </c>
      <c r="Q72" s="85">
        <v>-12109</v>
      </c>
      <c r="R72" s="85">
        <v>-10775</v>
      </c>
      <c r="S72" s="228"/>
      <c r="T72" s="85">
        <v>26889</v>
      </c>
      <c r="U72" s="85">
        <v>26889</v>
      </c>
      <c r="V72" s="85">
        <v>26349</v>
      </c>
      <c r="W72" s="228"/>
      <c r="X72" s="243">
        <v>-76509</v>
      </c>
      <c r="Y72" s="244">
        <v>-74981</v>
      </c>
      <c r="Z72" s="62"/>
      <c r="AA72" s="141">
        <v>14031</v>
      </c>
      <c r="AD72" s="244">
        <f>VLOOKUP(A72,'Change in Proportion Calc'!$A$5:$H$311,8,FALSE)+SUMIF($C$5:$AB$5,2025,C72:AB72)</f>
        <v>-74828</v>
      </c>
      <c r="AF72" s="243">
        <f t="shared" si="0"/>
        <v>299087</v>
      </c>
      <c r="AG72" s="243">
        <f t="shared" si="1"/>
        <v>407957</v>
      </c>
      <c r="AI72" s="243">
        <f>VLOOKUP(A72,'OPEB Amounts_Report'!$A$10:$G$324,7,FALSE)</f>
        <v>299087</v>
      </c>
      <c r="AJ72" s="244">
        <f t="shared" si="2"/>
        <v>0</v>
      </c>
      <c r="AK72" s="244"/>
      <c r="AL72" s="354">
        <f t="shared" si="3"/>
        <v>2950</v>
      </c>
      <c r="AM72" s="243">
        <f t="shared" si="4"/>
        <v>-87331</v>
      </c>
      <c r="AN72" s="243">
        <f t="shared" si="5"/>
        <v>-12890</v>
      </c>
      <c r="AO72" s="243">
        <f t="shared" si="6"/>
        <v>-37905</v>
      </c>
      <c r="AP72" s="243">
        <f t="shared" si="7"/>
        <v>-17121</v>
      </c>
      <c r="AQ72" s="243">
        <f t="shared" si="8"/>
        <v>46377</v>
      </c>
    </row>
    <row r="73" spans="1:43">
      <c r="A73" s="59">
        <v>2760</v>
      </c>
      <c r="B73" s="63" t="s">
        <v>65</v>
      </c>
      <c r="C73" s="85">
        <f>_xlfn.XLOOKUP($A73,'Change in Proportion Calc'!$A$5:$A$311,'Change in Proportion Calc'!L$5:L$311,,0,)</f>
        <v>-23849</v>
      </c>
      <c r="D73" s="85">
        <f>_xlfn.XLOOKUP($A73,'Change in Proportion Calc'!$A$5:$A$311,'Change in Proportion Calc'!M$5:M$311,,0,)</f>
        <v>-23849</v>
      </c>
      <c r="E73" s="85">
        <f>_xlfn.XLOOKUP($A73,'Change in Proportion Calc'!$A$5:$A$311,'Change in Proportion Calc'!N$5:N$311,,0,)</f>
        <v>-23849</v>
      </c>
      <c r="F73" s="85">
        <f>_xlfn.XLOOKUP($A73,'Change in Proportion Calc'!$A$5:$A$311,'Change in Proportion Calc'!O$5:O$311,,0,)</f>
        <v>-23849</v>
      </c>
      <c r="G73" s="85">
        <f>_xlfn.XLOOKUP($A73,'Change in Proportion Calc'!$A$5:$A$311,'Change in Proportion Calc'!P$5:P$311,,0,)</f>
        <v>-22182</v>
      </c>
      <c r="H73" s="228"/>
      <c r="I73" s="85">
        <v>-15432</v>
      </c>
      <c r="J73" s="85">
        <v>-15432</v>
      </c>
      <c r="K73" s="85">
        <v>-15432</v>
      </c>
      <c r="L73" s="85">
        <v>-15432</v>
      </c>
      <c r="M73" s="85">
        <v>-13428</v>
      </c>
      <c r="N73" s="85"/>
      <c r="O73" s="85">
        <v>-47002</v>
      </c>
      <c r="P73" s="85">
        <v>-47002</v>
      </c>
      <c r="Q73" s="85">
        <v>-47002</v>
      </c>
      <c r="R73" s="85">
        <v>-41834</v>
      </c>
      <c r="S73" s="228"/>
      <c r="T73" s="85">
        <v>45840</v>
      </c>
      <c r="U73" s="85">
        <v>45840</v>
      </c>
      <c r="V73" s="85">
        <v>44923</v>
      </c>
      <c r="W73" s="228"/>
      <c r="X73" s="243">
        <v>7814</v>
      </c>
      <c r="Y73" s="244">
        <v>7658</v>
      </c>
      <c r="Z73" s="62"/>
      <c r="AA73" s="141">
        <v>-32164</v>
      </c>
      <c r="AD73" s="244">
        <f>VLOOKUP(A73,'Change in Proportion Calc'!$A$5:$H$311,8,FALSE)+SUMIF($C$5:$AB$5,2025,C73:AB73)</f>
        <v>-64793</v>
      </c>
      <c r="AF73" s="243">
        <f t="shared" ref="AF73:AF136" si="9">IF(SUM(C73:G73)&gt;0,SUM(C73:G73))+IF(SUM(J73:M73)&gt;0,SUM(J73:M73),0)+IF(SUM(U73:V73)&gt;0,SUM(U73:V73),0)+IF(SUM(Y73)&gt;0,SUM(Y73),0)+IF(SUM(P73:R73)&gt;0,SUM(P73:R73),0)</f>
        <v>98421</v>
      </c>
      <c r="AG73" s="243">
        <f t="shared" ref="AG73:AG136" si="10">+IF(SUM(C73:G73)&lt;0,-SUM(C73:G73),0)+IF(SUM(J73:M73)&lt;0,-SUM(J73:M73),0)+IF(SUM(U73:V73)&lt;0,-SUM(U73:V73),0)+IF(SUM(Y73)&lt;0,-SUM(Y73),0)+IF(SUM(P73:R73)&lt;0,-SUM(P73:R73),0)</f>
        <v>313140</v>
      </c>
      <c r="AI73" s="243">
        <f>VLOOKUP(A73,'OPEB Amounts_Report'!$A$10:$G$324,7,FALSE)</f>
        <v>98421</v>
      </c>
      <c r="AJ73" s="244">
        <f t="shared" ref="AJ73:AJ138" si="11">+AF73-AI73</f>
        <v>0</v>
      </c>
      <c r="AK73" s="244"/>
      <c r="AL73" s="354">
        <f t="shared" ref="AL73:AL136" si="12">+A73</f>
        <v>2760</v>
      </c>
      <c r="AM73" s="243">
        <f t="shared" ref="AM73:AM136" si="13">+SUMIF($C$5:$AB$5,AM$5,C73:AB73)</f>
        <v>-32785</v>
      </c>
      <c r="AN73" s="243">
        <f t="shared" ref="AN73:AN136" si="14">+SUMIF($C$5:$AB$5,AN$5,C73:AB73)</f>
        <v>-41360</v>
      </c>
      <c r="AO73" s="243">
        <f t="shared" ref="AO73:AO136" si="15">+SUMIF($C$5:$AB$5,AO$5,C73:AB73)</f>
        <v>-81115</v>
      </c>
      <c r="AP73" s="243">
        <f t="shared" ref="AP73:AP136" si="16">+SUMIF($C$5:$AB$5,AP$5,C73:AB73)</f>
        <v>-37277</v>
      </c>
      <c r="AQ73" s="243">
        <f t="shared" ref="AQ73:AQ136" si="17">+SUMIF($C$5:$AB$5,AQ$5,C73:AB73)</f>
        <v>-22182</v>
      </c>
    </row>
    <row r="74" spans="1:43">
      <c r="A74" s="61">
        <v>2780</v>
      </c>
      <c r="B74" s="62" t="s">
        <v>66</v>
      </c>
      <c r="C74" s="85">
        <f>_xlfn.XLOOKUP($A74,'Change in Proportion Calc'!$A$5:$A$311,'Change in Proportion Calc'!L$5:L$311,,0,)</f>
        <v>1222</v>
      </c>
      <c r="D74" s="85">
        <f>_xlfn.XLOOKUP($A74,'Change in Proportion Calc'!$A$5:$A$311,'Change in Proportion Calc'!M$5:M$311,,0,)</f>
        <v>1222</v>
      </c>
      <c r="E74" s="85">
        <f>_xlfn.XLOOKUP($A74,'Change in Proportion Calc'!$A$5:$A$311,'Change in Proportion Calc'!N$5:N$311,,0,)</f>
        <v>1222</v>
      </c>
      <c r="F74" s="85">
        <f>_xlfn.XLOOKUP($A74,'Change in Proportion Calc'!$A$5:$A$311,'Change in Proportion Calc'!O$5:O$311,,0,)</f>
        <v>1222</v>
      </c>
      <c r="G74" s="85">
        <f>_xlfn.XLOOKUP($A74,'Change in Proportion Calc'!$A$5:$A$311,'Change in Proportion Calc'!P$5:P$311,,0,)</f>
        <v>1135</v>
      </c>
      <c r="H74" s="228"/>
      <c r="I74" s="85">
        <v>-1683</v>
      </c>
      <c r="J74" s="85">
        <v>-1683</v>
      </c>
      <c r="K74" s="85">
        <v>-1683</v>
      </c>
      <c r="L74" s="85">
        <v>-1683</v>
      </c>
      <c r="M74" s="85">
        <v>-1462</v>
      </c>
      <c r="N74" s="85"/>
      <c r="O74" s="85">
        <v>-9934</v>
      </c>
      <c r="P74" s="85">
        <v>-9934</v>
      </c>
      <c r="Q74" s="85">
        <v>-9934</v>
      </c>
      <c r="R74" s="85">
        <v>-8839</v>
      </c>
      <c r="S74" s="228"/>
      <c r="T74" s="85">
        <v>2754</v>
      </c>
      <c r="U74" s="85">
        <v>2754</v>
      </c>
      <c r="V74" s="85">
        <v>2697</v>
      </c>
      <c r="W74" s="228"/>
      <c r="X74" s="243">
        <v>-9446</v>
      </c>
      <c r="Y74" s="244">
        <v>-9255</v>
      </c>
      <c r="Z74" s="62"/>
      <c r="AA74" s="141">
        <v>4037</v>
      </c>
      <c r="AD74" s="244">
        <f>VLOOKUP(A74,'Change in Proportion Calc'!$A$5:$H$311,8,FALSE)+SUMIF($C$5:$AB$5,2025,C74:AB74)</f>
        <v>-13050</v>
      </c>
      <c r="AF74" s="243">
        <f t="shared" si="9"/>
        <v>11474</v>
      </c>
      <c r="AG74" s="243">
        <f t="shared" si="10"/>
        <v>44473</v>
      </c>
      <c r="AI74" s="243">
        <f>VLOOKUP(A74,'OPEB Amounts_Report'!$A$10:$G$324,7,FALSE)</f>
        <v>11474</v>
      </c>
      <c r="AJ74" s="244">
        <f t="shared" si="11"/>
        <v>0</v>
      </c>
      <c r="AK74" s="244"/>
      <c r="AL74" s="354">
        <f t="shared" si="12"/>
        <v>2780</v>
      </c>
      <c r="AM74" s="243">
        <f t="shared" si="13"/>
        <v>-16896</v>
      </c>
      <c r="AN74" s="243">
        <f t="shared" si="14"/>
        <v>-7698</v>
      </c>
      <c r="AO74" s="243">
        <f t="shared" si="15"/>
        <v>-9300</v>
      </c>
      <c r="AP74" s="243">
        <f t="shared" si="16"/>
        <v>-240</v>
      </c>
      <c r="AQ74" s="243">
        <f t="shared" si="17"/>
        <v>1135</v>
      </c>
    </row>
    <row r="75" spans="1:43">
      <c r="A75" s="59">
        <v>2810</v>
      </c>
      <c r="B75" s="63" t="s">
        <v>67</v>
      </c>
      <c r="C75" s="85">
        <f>_xlfn.XLOOKUP($A75,'Change in Proportion Calc'!$A$5:$A$311,'Change in Proportion Calc'!L$5:L$311,,0,)</f>
        <v>-12825</v>
      </c>
      <c r="D75" s="85">
        <f>_xlfn.XLOOKUP($A75,'Change in Proportion Calc'!$A$5:$A$311,'Change in Proportion Calc'!M$5:M$311,,0,)</f>
        <v>-12825</v>
      </c>
      <c r="E75" s="85">
        <f>_xlfn.XLOOKUP($A75,'Change in Proportion Calc'!$A$5:$A$311,'Change in Proportion Calc'!N$5:N$311,,0,)</f>
        <v>-12825</v>
      </c>
      <c r="F75" s="85">
        <f>_xlfn.XLOOKUP($A75,'Change in Proportion Calc'!$A$5:$A$311,'Change in Proportion Calc'!O$5:O$311,,0,)</f>
        <v>-12825</v>
      </c>
      <c r="G75" s="85">
        <f>_xlfn.XLOOKUP($A75,'Change in Proportion Calc'!$A$5:$A$311,'Change in Proportion Calc'!P$5:P$311,,0,)</f>
        <v>-11928</v>
      </c>
      <c r="H75" s="228"/>
      <c r="I75" s="85">
        <v>5735</v>
      </c>
      <c r="J75" s="85">
        <v>5735</v>
      </c>
      <c r="K75" s="85">
        <v>5735</v>
      </c>
      <c r="L75" s="85">
        <v>5735</v>
      </c>
      <c r="M75" s="85">
        <v>4990</v>
      </c>
      <c r="N75" s="85"/>
      <c r="O75" s="85">
        <v>-21311</v>
      </c>
      <c r="P75" s="85">
        <v>-21311</v>
      </c>
      <c r="Q75" s="85">
        <v>-21311</v>
      </c>
      <c r="R75" s="85">
        <v>-18966</v>
      </c>
      <c r="S75" s="228"/>
      <c r="T75" s="85">
        <v>-131851</v>
      </c>
      <c r="U75" s="85">
        <v>-131851</v>
      </c>
      <c r="V75" s="85">
        <v>-129213</v>
      </c>
      <c r="W75" s="228"/>
      <c r="X75" s="243">
        <v>-42334</v>
      </c>
      <c r="Y75" s="244">
        <v>-41485</v>
      </c>
      <c r="Z75" s="62"/>
      <c r="AA75" s="141">
        <v>-87921</v>
      </c>
      <c r="AD75" s="244">
        <f>VLOOKUP(A75,'Change in Proportion Calc'!$A$5:$H$311,8,FALSE)+SUMIF($C$5:$AB$5,2025,C75:AB75)</f>
        <v>-290507</v>
      </c>
      <c r="AF75" s="243">
        <f t="shared" si="9"/>
        <v>22195</v>
      </c>
      <c r="AG75" s="243">
        <f t="shared" si="10"/>
        <v>427365</v>
      </c>
      <c r="AI75" s="243">
        <f>VLOOKUP(A75,'OPEB Amounts_Report'!$A$10:$G$324,7,FALSE)</f>
        <v>22195</v>
      </c>
      <c r="AJ75" s="244">
        <f t="shared" si="11"/>
        <v>0</v>
      </c>
      <c r="AK75" s="244"/>
      <c r="AL75" s="354">
        <f t="shared" si="12"/>
        <v>2810</v>
      </c>
      <c r="AM75" s="243">
        <f t="shared" si="13"/>
        <v>-201737</v>
      </c>
      <c r="AN75" s="243">
        <f t="shared" si="14"/>
        <v>-157614</v>
      </c>
      <c r="AO75" s="243">
        <f t="shared" si="15"/>
        <v>-26056</v>
      </c>
      <c r="AP75" s="243">
        <f t="shared" si="16"/>
        <v>-7835</v>
      </c>
      <c r="AQ75" s="243">
        <f t="shared" si="17"/>
        <v>-11928</v>
      </c>
    </row>
    <row r="76" spans="1:43">
      <c r="A76" s="61">
        <v>18056</v>
      </c>
      <c r="B76" s="62" t="s">
        <v>68</v>
      </c>
      <c r="C76" s="85">
        <f>_xlfn.XLOOKUP($A76,'Change in Proportion Calc'!$A$5:$A$311,'Change in Proportion Calc'!L$5:L$311,,0,)</f>
        <v>-18050</v>
      </c>
      <c r="D76" s="85">
        <f>_xlfn.XLOOKUP($A76,'Change in Proportion Calc'!$A$5:$A$311,'Change in Proportion Calc'!M$5:M$311,,0,)</f>
        <v>-18050</v>
      </c>
      <c r="E76" s="85">
        <f>_xlfn.XLOOKUP($A76,'Change in Proportion Calc'!$A$5:$A$311,'Change in Proportion Calc'!N$5:N$311,,0,)</f>
        <v>-18050</v>
      </c>
      <c r="F76" s="85">
        <f>_xlfn.XLOOKUP($A76,'Change in Proportion Calc'!$A$5:$A$311,'Change in Proportion Calc'!O$5:O$311,,0,)</f>
        <v>-18050</v>
      </c>
      <c r="G76" s="85">
        <f>_xlfn.XLOOKUP($A76,'Change in Proportion Calc'!$A$5:$A$311,'Change in Proportion Calc'!P$5:P$311,,0,)</f>
        <v>-16789</v>
      </c>
      <c r="H76" s="228"/>
      <c r="I76" s="85">
        <v>24379</v>
      </c>
      <c r="J76" s="85">
        <v>24379</v>
      </c>
      <c r="K76" s="85">
        <v>24379</v>
      </c>
      <c r="L76" s="85">
        <v>24379</v>
      </c>
      <c r="M76" s="85">
        <v>21210</v>
      </c>
      <c r="N76" s="85"/>
      <c r="O76" s="85">
        <v>-5028</v>
      </c>
      <c r="P76" s="85">
        <v>-5028</v>
      </c>
      <c r="Q76" s="85">
        <v>-5028</v>
      </c>
      <c r="R76" s="85">
        <v>-4477</v>
      </c>
      <c r="S76" s="228"/>
      <c r="T76" s="85">
        <v>-63739</v>
      </c>
      <c r="U76" s="85">
        <v>-63739</v>
      </c>
      <c r="V76" s="85">
        <v>-62462</v>
      </c>
      <c r="W76" s="228"/>
      <c r="X76" s="243">
        <v>56588</v>
      </c>
      <c r="Y76" s="244">
        <v>55455</v>
      </c>
      <c r="Z76" s="62"/>
      <c r="AA76" s="141">
        <v>-34833</v>
      </c>
      <c r="AD76" s="244">
        <f>VLOOKUP(A76,'Change in Proportion Calc'!$A$5:$H$311,8,FALSE)+SUMIF($C$5:$AB$5,2025,C76:AB76)</f>
        <v>-40683</v>
      </c>
      <c r="AF76" s="243">
        <f t="shared" si="9"/>
        <v>149802</v>
      </c>
      <c r="AG76" s="243">
        <f t="shared" si="10"/>
        <v>229723</v>
      </c>
      <c r="AI76" s="243">
        <f>VLOOKUP(A76,'OPEB Amounts_Report'!$A$10:$G$324,7,FALSE)</f>
        <v>149802</v>
      </c>
      <c r="AJ76" s="244">
        <f t="shared" si="11"/>
        <v>0</v>
      </c>
      <c r="AK76" s="244"/>
      <c r="AL76" s="354">
        <f t="shared" si="12"/>
        <v>18056</v>
      </c>
      <c r="AM76" s="243">
        <f t="shared" si="13"/>
        <v>-6983</v>
      </c>
      <c r="AN76" s="243">
        <f t="shared" si="14"/>
        <v>-61161</v>
      </c>
      <c r="AO76" s="243">
        <f t="shared" si="15"/>
        <v>1852</v>
      </c>
      <c r="AP76" s="243">
        <f t="shared" si="16"/>
        <v>3160</v>
      </c>
      <c r="AQ76" s="243">
        <f t="shared" si="17"/>
        <v>-16789</v>
      </c>
    </row>
    <row r="77" spans="1:43">
      <c r="A77" s="59">
        <v>15047</v>
      </c>
      <c r="B77" s="63" t="s">
        <v>69</v>
      </c>
      <c r="C77" s="85">
        <f>_xlfn.XLOOKUP($A77,'Change in Proportion Calc'!$A$5:$A$311,'Change in Proportion Calc'!L$5:L$311,,0,)</f>
        <v>-45998</v>
      </c>
      <c r="D77" s="85">
        <f>_xlfn.XLOOKUP($A77,'Change in Proportion Calc'!$A$5:$A$311,'Change in Proportion Calc'!M$5:M$311,,0,)</f>
        <v>-45998</v>
      </c>
      <c r="E77" s="85">
        <f>_xlfn.XLOOKUP($A77,'Change in Proportion Calc'!$A$5:$A$311,'Change in Proportion Calc'!N$5:N$311,,0,)</f>
        <v>-45998</v>
      </c>
      <c r="F77" s="85">
        <f>_xlfn.XLOOKUP($A77,'Change in Proportion Calc'!$A$5:$A$311,'Change in Proportion Calc'!O$5:O$311,,0,)</f>
        <v>-45998</v>
      </c>
      <c r="G77" s="85">
        <f>_xlfn.XLOOKUP($A77,'Change in Proportion Calc'!$A$5:$A$311,'Change in Proportion Calc'!P$5:P$311,,0,)</f>
        <v>-42780</v>
      </c>
      <c r="H77" s="228"/>
      <c r="I77" s="85">
        <v>6907</v>
      </c>
      <c r="J77" s="85">
        <v>6907</v>
      </c>
      <c r="K77" s="85">
        <v>6907</v>
      </c>
      <c r="L77" s="85">
        <v>6907</v>
      </c>
      <c r="M77" s="85">
        <v>6008</v>
      </c>
      <c r="N77" s="85"/>
      <c r="O77" s="85">
        <v>50635</v>
      </c>
      <c r="P77" s="85">
        <v>50635</v>
      </c>
      <c r="Q77" s="85">
        <v>50635</v>
      </c>
      <c r="R77" s="85">
        <v>45063</v>
      </c>
      <c r="S77" s="228"/>
      <c r="T77" s="85">
        <v>41871</v>
      </c>
      <c r="U77" s="85">
        <v>41871</v>
      </c>
      <c r="V77" s="85">
        <v>41036</v>
      </c>
      <c r="W77" s="228"/>
      <c r="X77" s="243">
        <v>59421</v>
      </c>
      <c r="Y77" s="244">
        <v>58235</v>
      </c>
      <c r="Z77" s="62"/>
      <c r="AA77" s="141">
        <v>-20865</v>
      </c>
      <c r="AD77" s="244">
        <f>VLOOKUP(A77,'Change in Proportion Calc'!$A$5:$H$311,8,FALSE)+SUMIF($C$5:$AB$5,2025,C77:AB77)</f>
        <v>91971</v>
      </c>
      <c r="AF77" s="243">
        <f t="shared" si="9"/>
        <v>314204</v>
      </c>
      <c r="AG77" s="243">
        <f t="shared" si="10"/>
        <v>226772</v>
      </c>
      <c r="AI77" s="243">
        <f>VLOOKUP(A77,'OPEB Amounts_Report'!$A$10:$G$324,7,FALSE)</f>
        <v>314204</v>
      </c>
      <c r="AJ77" s="244">
        <f t="shared" si="11"/>
        <v>0</v>
      </c>
      <c r="AK77" s="244"/>
      <c r="AL77" s="354">
        <f t="shared" si="12"/>
        <v>15047</v>
      </c>
      <c r="AM77" s="243">
        <f t="shared" si="13"/>
        <v>111650</v>
      </c>
      <c r="AN77" s="243">
        <f t="shared" si="14"/>
        <v>52580</v>
      </c>
      <c r="AO77" s="243">
        <f t="shared" si="15"/>
        <v>5972</v>
      </c>
      <c r="AP77" s="243">
        <f t="shared" si="16"/>
        <v>-39990</v>
      </c>
      <c r="AQ77" s="243">
        <f t="shared" si="17"/>
        <v>-42780</v>
      </c>
    </row>
    <row r="78" spans="1:43">
      <c r="A78" s="61">
        <v>5012</v>
      </c>
      <c r="B78" s="62" t="s">
        <v>70</v>
      </c>
      <c r="C78" s="85">
        <f>_xlfn.XLOOKUP($A78,'Change in Proportion Calc'!$A$5:$A$311,'Change in Proportion Calc'!L$5:L$311,,0,)</f>
        <v>238266</v>
      </c>
      <c r="D78" s="85">
        <f>_xlfn.XLOOKUP($A78,'Change in Proportion Calc'!$A$5:$A$311,'Change in Proportion Calc'!M$5:M$311,,0,)</f>
        <v>238266</v>
      </c>
      <c r="E78" s="85">
        <f>_xlfn.XLOOKUP($A78,'Change in Proportion Calc'!$A$5:$A$311,'Change in Proportion Calc'!N$5:N$311,,0,)</f>
        <v>238266</v>
      </c>
      <c r="F78" s="85">
        <f>_xlfn.XLOOKUP($A78,'Change in Proportion Calc'!$A$5:$A$311,'Change in Proportion Calc'!O$5:O$311,,0,)</f>
        <v>238266</v>
      </c>
      <c r="G78" s="85">
        <f>_xlfn.XLOOKUP($A78,'Change in Proportion Calc'!$A$5:$A$311,'Change in Proportion Calc'!P$5:P$311,,0,)</f>
        <v>221590</v>
      </c>
      <c r="H78" s="228"/>
      <c r="I78" s="85">
        <v>109406</v>
      </c>
      <c r="J78" s="85">
        <v>109406</v>
      </c>
      <c r="K78" s="85">
        <v>109406</v>
      </c>
      <c r="L78" s="85">
        <v>109406</v>
      </c>
      <c r="M78" s="85">
        <v>95184</v>
      </c>
      <c r="N78" s="85"/>
      <c r="O78" s="85">
        <v>-193638</v>
      </c>
      <c r="P78" s="85">
        <v>-193638</v>
      </c>
      <c r="Q78" s="85">
        <v>-193638</v>
      </c>
      <c r="R78" s="85">
        <v>-172340</v>
      </c>
      <c r="S78" s="228"/>
      <c r="T78" s="85">
        <v>313267</v>
      </c>
      <c r="U78" s="85">
        <v>313267</v>
      </c>
      <c r="V78" s="85">
        <v>307003</v>
      </c>
      <c r="W78" s="228"/>
      <c r="X78" s="243">
        <v>196468</v>
      </c>
      <c r="Y78" s="244">
        <v>192541</v>
      </c>
      <c r="Z78" s="62"/>
      <c r="AA78" s="141">
        <v>-113879</v>
      </c>
      <c r="AD78" s="244">
        <f>VLOOKUP(A78,'Change in Proportion Calc'!$A$5:$H$311,8,FALSE)+SUMIF($C$5:$AB$5,2025,C78:AB78)</f>
        <v>549890</v>
      </c>
      <c r="AF78" s="243">
        <f t="shared" si="9"/>
        <v>2410867</v>
      </c>
      <c r="AG78" s="243">
        <f t="shared" si="10"/>
        <v>559616</v>
      </c>
      <c r="AI78" s="243">
        <f>VLOOKUP(A78,'OPEB Amounts_Report'!$A$10:$G$324,7,FALSE)</f>
        <v>2410867</v>
      </c>
      <c r="AJ78" s="244">
        <f t="shared" si="11"/>
        <v>0</v>
      </c>
      <c r="AK78" s="244"/>
      <c r="AL78" s="354">
        <f t="shared" si="12"/>
        <v>5012</v>
      </c>
      <c r="AM78" s="243">
        <f t="shared" si="13"/>
        <v>659842</v>
      </c>
      <c r="AN78" s="243">
        <f t="shared" si="14"/>
        <v>461037</v>
      </c>
      <c r="AO78" s="243">
        <f t="shared" si="15"/>
        <v>175332</v>
      </c>
      <c r="AP78" s="243">
        <f t="shared" si="16"/>
        <v>333450</v>
      </c>
      <c r="AQ78" s="243">
        <f t="shared" si="17"/>
        <v>221590</v>
      </c>
    </row>
    <row r="79" spans="1:43">
      <c r="A79" s="59">
        <v>8024</v>
      </c>
      <c r="B79" s="63" t="s">
        <v>71</v>
      </c>
      <c r="C79" s="85">
        <f>_xlfn.XLOOKUP($A79,'Change in Proportion Calc'!$A$5:$A$311,'Change in Proportion Calc'!L$5:L$311,,0,)</f>
        <v>-58756</v>
      </c>
      <c r="D79" s="85">
        <f>_xlfn.XLOOKUP($A79,'Change in Proportion Calc'!$A$5:$A$311,'Change in Proportion Calc'!M$5:M$311,,0,)</f>
        <v>-58756</v>
      </c>
      <c r="E79" s="85">
        <f>_xlfn.XLOOKUP($A79,'Change in Proportion Calc'!$A$5:$A$311,'Change in Proportion Calc'!N$5:N$311,,0,)</f>
        <v>-58756</v>
      </c>
      <c r="F79" s="85">
        <f>_xlfn.XLOOKUP($A79,'Change in Proportion Calc'!$A$5:$A$311,'Change in Proportion Calc'!O$5:O$311,,0,)</f>
        <v>-58756</v>
      </c>
      <c r="G79" s="85">
        <f>_xlfn.XLOOKUP($A79,'Change in Proportion Calc'!$A$5:$A$311,'Change in Proportion Calc'!P$5:P$311,,0,)</f>
        <v>-54645</v>
      </c>
      <c r="H79" s="228"/>
      <c r="I79" s="85">
        <v>55742</v>
      </c>
      <c r="J79" s="85">
        <v>55742</v>
      </c>
      <c r="K79" s="85">
        <v>55742</v>
      </c>
      <c r="L79" s="85">
        <v>55742</v>
      </c>
      <c r="M79" s="85">
        <v>48496</v>
      </c>
      <c r="N79" s="85"/>
      <c r="O79" s="85">
        <v>-110372</v>
      </c>
      <c r="P79" s="85">
        <v>-110372</v>
      </c>
      <c r="Q79" s="85">
        <v>-110372</v>
      </c>
      <c r="R79" s="85">
        <v>-98231</v>
      </c>
      <c r="S79" s="228"/>
      <c r="T79" s="85">
        <v>-38308</v>
      </c>
      <c r="U79" s="85">
        <v>-38308</v>
      </c>
      <c r="V79" s="85">
        <v>-37542</v>
      </c>
      <c r="W79" s="228"/>
      <c r="X79" s="243">
        <v>-148725</v>
      </c>
      <c r="Y79" s="244">
        <v>-145752</v>
      </c>
      <c r="Z79" s="62"/>
      <c r="AA79" s="141">
        <v>240732</v>
      </c>
      <c r="AD79" s="244">
        <f>VLOOKUP(A79,'Change in Proportion Calc'!$A$5:$H$311,8,FALSE)+SUMIF($C$5:$AB$5,2025,C79:AB79)</f>
        <v>-59687</v>
      </c>
      <c r="AF79" s="243">
        <f t="shared" si="9"/>
        <v>215722</v>
      </c>
      <c r="AG79" s="243">
        <f t="shared" si="10"/>
        <v>830246</v>
      </c>
      <c r="AI79" s="243">
        <f>VLOOKUP(A79,'OPEB Amounts_Report'!$A$10:$G$324,7,FALSE)</f>
        <v>215722</v>
      </c>
      <c r="AJ79" s="244">
        <f t="shared" si="11"/>
        <v>0</v>
      </c>
      <c r="AK79" s="244"/>
      <c r="AL79" s="354">
        <f t="shared" si="12"/>
        <v>8024</v>
      </c>
      <c r="AM79" s="243">
        <f t="shared" si="13"/>
        <v>-297446</v>
      </c>
      <c r="AN79" s="243">
        <f t="shared" si="14"/>
        <v>-150928</v>
      </c>
      <c r="AO79" s="243">
        <f t="shared" si="15"/>
        <v>-101245</v>
      </c>
      <c r="AP79" s="243">
        <f t="shared" si="16"/>
        <v>-10260</v>
      </c>
      <c r="AQ79" s="243">
        <f t="shared" si="17"/>
        <v>-54645</v>
      </c>
    </row>
    <row r="80" spans="1:43">
      <c r="A80" s="61">
        <v>3050</v>
      </c>
      <c r="B80" s="62" t="s">
        <v>72</v>
      </c>
      <c r="C80" s="85">
        <f>_xlfn.XLOOKUP($A80,'Change in Proportion Calc'!$A$5:$A$311,'Change in Proportion Calc'!L$5:L$311,,0,)</f>
        <v>-3639</v>
      </c>
      <c r="D80" s="85">
        <f>_xlfn.XLOOKUP($A80,'Change in Proportion Calc'!$A$5:$A$311,'Change in Proportion Calc'!M$5:M$311,,0,)</f>
        <v>-3639</v>
      </c>
      <c r="E80" s="85">
        <f>_xlfn.XLOOKUP($A80,'Change in Proportion Calc'!$A$5:$A$311,'Change in Proportion Calc'!N$5:N$311,,0,)</f>
        <v>-3639</v>
      </c>
      <c r="F80" s="85">
        <f>_xlfn.XLOOKUP($A80,'Change in Proportion Calc'!$A$5:$A$311,'Change in Proportion Calc'!O$5:O$311,,0,)</f>
        <v>-3639</v>
      </c>
      <c r="G80" s="85">
        <f>_xlfn.XLOOKUP($A80,'Change in Proportion Calc'!$A$5:$A$311,'Change in Proportion Calc'!P$5:P$311,,0,)</f>
        <v>-3384</v>
      </c>
      <c r="H80" s="228"/>
      <c r="I80" s="85">
        <v>46615</v>
      </c>
      <c r="J80" s="85">
        <v>46615</v>
      </c>
      <c r="K80" s="85">
        <v>46615</v>
      </c>
      <c r="L80" s="85">
        <v>46615</v>
      </c>
      <c r="M80" s="85">
        <v>40557</v>
      </c>
      <c r="N80" s="85"/>
      <c r="O80" s="85">
        <v>-24850</v>
      </c>
      <c r="P80" s="85">
        <v>-24850</v>
      </c>
      <c r="Q80" s="85">
        <v>-24850</v>
      </c>
      <c r="R80" s="85">
        <v>-22115</v>
      </c>
      <c r="S80" s="228"/>
      <c r="T80" s="85">
        <v>10691</v>
      </c>
      <c r="U80" s="85">
        <v>10691</v>
      </c>
      <c r="V80" s="85">
        <v>10475</v>
      </c>
      <c r="W80" s="228"/>
      <c r="X80" s="243">
        <v>-27135</v>
      </c>
      <c r="Y80" s="244">
        <v>-26590</v>
      </c>
      <c r="Z80" s="62"/>
      <c r="AA80" s="141">
        <v>45577</v>
      </c>
      <c r="AD80" s="244">
        <f>VLOOKUP(A80,'Change in Proportion Calc'!$A$5:$H$311,8,FALSE)+SUMIF($C$5:$AB$5,2025,C80:AB80)</f>
        <v>47259</v>
      </c>
      <c r="AF80" s="243">
        <f t="shared" si="9"/>
        <v>201568</v>
      </c>
      <c r="AG80" s="243">
        <f t="shared" si="10"/>
        <v>116345</v>
      </c>
      <c r="AI80" s="243">
        <f>VLOOKUP(A80,'OPEB Amounts_Report'!$A$10:$G$324,7,FALSE)</f>
        <v>201568</v>
      </c>
      <c r="AJ80" s="244">
        <f t="shared" si="11"/>
        <v>0</v>
      </c>
      <c r="AK80" s="244"/>
      <c r="AL80" s="354">
        <f t="shared" si="12"/>
        <v>3050</v>
      </c>
      <c r="AM80" s="243">
        <f t="shared" si="13"/>
        <v>2227</v>
      </c>
      <c r="AN80" s="243">
        <f t="shared" si="14"/>
        <v>28601</v>
      </c>
      <c r="AO80" s="243">
        <f t="shared" si="15"/>
        <v>20861</v>
      </c>
      <c r="AP80" s="243">
        <f t="shared" si="16"/>
        <v>36918</v>
      </c>
      <c r="AQ80" s="243">
        <f t="shared" si="17"/>
        <v>-3384</v>
      </c>
    </row>
    <row r="81" spans="1:43">
      <c r="A81" s="59">
        <v>2421</v>
      </c>
      <c r="B81" s="63" t="s">
        <v>73</v>
      </c>
      <c r="C81" s="85">
        <f>_xlfn.XLOOKUP($A81,'Change in Proportion Calc'!$A$5:$A$311,'Change in Proportion Calc'!L$5:L$311,,0,)</f>
        <v>-21628</v>
      </c>
      <c r="D81" s="85">
        <f>_xlfn.XLOOKUP($A81,'Change in Proportion Calc'!$A$5:$A$311,'Change in Proportion Calc'!M$5:M$311,,0,)</f>
        <v>-21628</v>
      </c>
      <c r="E81" s="85">
        <f>_xlfn.XLOOKUP($A81,'Change in Proportion Calc'!$A$5:$A$311,'Change in Proportion Calc'!N$5:N$311,,0,)</f>
        <v>-21628</v>
      </c>
      <c r="F81" s="85">
        <f>_xlfn.XLOOKUP($A81,'Change in Proportion Calc'!$A$5:$A$311,'Change in Proportion Calc'!O$5:O$311,,0,)</f>
        <v>-21628</v>
      </c>
      <c r="G81" s="85">
        <f>_xlfn.XLOOKUP($A81,'Change in Proportion Calc'!$A$5:$A$311,'Change in Proportion Calc'!P$5:P$311,,0,)</f>
        <v>-20117</v>
      </c>
      <c r="H81" s="228"/>
      <c r="I81" s="85">
        <v>-12433</v>
      </c>
      <c r="J81" s="85">
        <v>-12433</v>
      </c>
      <c r="K81" s="85">
        <v>-12433</v>
      </c>
      <c r="L81" s="85">
        <v>-12433</v>
      </c>
      <c r="M81" s="85">
        <v>-10817</v>
      </c>
      <c r="N81" s="85"/>
      <c r="O81" s="85">
        <v>35106</v>
      </c>
      <c r="P81" s="85">
        <v>35106</v>
      </c>
      <c r="Q81" s="85">
        <v>35106</v>
      </c>
      <c r="R81" s="85">
        <v>31243</v>
      </c>
      <c r="S81" s="228"/>
      <c r="T81" s="85">
        <v>5912</v>
      </c>
      <c r="U81" s="85">
        <v>5912</v>
      </c>
      <c r="V81" s="85">
        <v>5795</v>
      </c>
      <c r="W81" s="228"/>
      <c r="X81" s="243">
        <v>-8587</v>
      </c>
      <c r="Y81" s="244">
        <v>-8415</v>
      </c>
      <c r="Z81" s="62"/>
      <c r="AA81" s="141">
        <v>-2234</v>
      </c>
      <c r="AD81" s="244">
        <f>VLOOKUP(A81,'Change in Proportion Calc'!$A$5:$H$311,8,FALSE)+SUMIF($C$5:$AB$5,2025,C81:AB81)</f>
        <v>-3864</v>
      </c>
      <c r="AF81" s="243">
        <f t="shared" si="9"/>
        <v>113162</v>
      </c>
      <c r="AG81" s="243">
        <f t="shared" si="10"/>
        <v>163160</v>
      </c>
      <c r="AI81" s="243">
        <f>VLOOKUP(A81,'OPEB Amounts_Report'!$A$10:$G$324,7,FALSE)</f>
        <v>113162</v>
      </c>
      <c r="AJ81" s="244">
        <f t="shared" si="11"/>
        <v>0</v>
      </c>
      <c r="AK81" s="244"/>
      <c r="AL81" s="354">
        <f t="shared" si="12"/>
        <v>2421</v>
      </c>
      <c r="AM81" s="243">
        <f t="shared" si="13"/>
        <v>-1458</v>
      </c>
      <c r="AN81" s="243">
        <f t="shared" si="14"/>
        <v>6840</v>
      </c>
      <c r="AO81" s="243">
        <f t="shared" si="15"/>
        <v>-2818</v>
      </c>
      <c r="AP81" s="243">
        <f t="shared" si="16"/>
        <v>-32445</v>
      </c>
      <c r="AQ81" s="243">
        <f t="shared" si="17"/>
        <v>-20117</v>
      </c>
    </row>
    <row r="82" spans="1:43">
      <c r="A82" s="61">
        <v>26079</v>
      </c>
      <c r="B82" s="62" t="s">
        <v>74</v>
      </c>
      <c r="C82" s="85">
        <f>_xlfn.XLOOKUP($A82,'Change in Proportion Calc'!$A$5:$A$311,'Change in Proportion Calc'!L$5:L$311,,0,)</f>
        <v>16287</v>
      </c>
      <c r="D82" s="85">
        <f>_xlfn.XLOOKUP($A82,'Change in Proportion Calc'!$A$5:$A$311,'Change in Proportion Calc'!M$5:M$311,,0,)</f>
        <v>16287</v>
      </c>
      <c r="E82" s="85">
        <f>_xlfn.XLOOKUP($A82,'Change in Proportion Calc'!$A$5:$A$311,'Change in Proportion Calc'!N$5:N$311,,0,)</f>
        <v>16287</v>
      </c>
      <c r="F82" s="85">
        <f>_xlfn.XLOOKUP($A82,'Change in Proportion Calc'!$A$5:$A$311,'Change in Proportion Calc'!O$5:O$311,,0,)</f>
        <v>16287</v>
      </c>
      <c r="G82" s="85">
        <f>_xlfn.XLOOKUP($A82,'Change in Proportion Calc'!$A$5:$A$311,'Change in Proportion Calc'!P$5:P$311,,0,)</f>
        <v>15145</v>
      </c>
      <c r="H82" s="228"/>
      <c r="I82" s="85">
        <v>3646</v>
      </c>
      <c r="J82" s="85">
        <v>3646</v>
      </c>
      <c r="K82" s="85">
        <v>3646</v>
      </c>
      <c r="L82" s="85">
        <v>3646</v>
      </c>
      <c r="M82" s="85">
        <v>3174</v>
      </c>
      <c r="N82" s="85"/>
      <c r="O82" s="85">
        <v>-3412</v>
      </c>
      <c r="P82" s="85">
        <v>-3412</v>
      </c>
      <c r="Q82" s="85">
        <v>-3412</v>
      </c>
      <c r="R82" s="85">
        <v>-3035</v>
      </c>
      <c r="S82" s="228"/>
      <c r="T82" s="85">
        <v>3483</v>
      </c>
      <c r="U82" s="85">
        <v>3483</v>
      </c>
      <c r="V82" s="85">
        <v>3411</v>
      </c>
      <c r="W82" s="228"/>
      <c r="X82" s="243">
        <v>-2662</v>
      </c>
      <c r="Y82" s="244">
        <v>-2608</v>
      </c>
      <c r="Z82" s="62"/>
      <c r="AA82" s="141">
        <v>-15025</v>
      </c>
      <c r="AD82" s="244">
        <f>VLOOKUP(A82,'Change in Proportion Calc'!$A$5:$H$311,8,FALSE)+SUMIF($C$5:$AB$5,2025,C82:AB82)</f>
        <v>2317</v>
      </c>
      <c r="AF82" s="243">
        <f t="shared" si="9"/>
        <v>101299</v>
      </c>
      <c r="AG82" s="243">
        <f t="shared" si="10"/>
        <v>12467</v>
      </c>
      <c r="AI82" s="243">
        <f>VLOOKUP(A82,'OPEB Amounts_Report'!$A$10:$G$324,7,FALSE)</f>
        <v>101299</v>
      </c>
      <c r="AJ82" s="244">
        <f t="shared" si="11"/>
        <v>0</v>
      </c>
      <c r="AK82" s="244"/>
      <c r="AL82" s="354">
        <f t="shared" si="12"/>
        <v>26079</v>
      </c>
      <c r="AM82" s="243">
        <f t="shared" si="13"/>
        <v>17396</v>
      </c>
      <c r="AN82" s="243">
        <f t="shared" si="14"/>
        <v>19932</v>
      </c>
      <c r="AO82" s="243">
        <f t="shared" si="15"/>
        <v>16898</v>
      </c>
      <c r="AP82" s="243">
        <f t="shared" si="16"/>
        <v>19461</v>
      </c>
      <c r="AQ82" s="243">
        <f t="shared" si="17"/>
        <v>15145</v>
      </c>
    </row>
    <row r="83" spans="1:43">
      <c r="A83" s="59">
        <v>2363</v>
      </c>
      <c r="B83" s="63" t="s">
        <v>75</v>
      </c>
      <c r="C83" s="85">
        <f>_xlfn.XLOOKUP($A83,'Change in Proportion Calc'!$A$5:$A$311,'Change in Proportion Calc'!L$5:L$311,,0,)</f>
        <v>-2423</v>
      </c>
      <c r="D83" s="85">
        <f>_xlfn.XLOOKUP($A83,'Change in Proportion Calc'!$A$5:$A$311,'Change in Proportion Calc'!M$5:M$311,,0,)</f>
        <v>-2423</v>
      </c>
      <c r="E83" s="85">
        <f>_xlfn.XLOOKUP($A83,'Change in Proportion Calc'!$A$5:$A$311,'Change in Proportion Calc'!N$5:N$311,,0,)</f>
        <v>-2423</v>
      </c>
      <c r="F83" s="85">
        <f>_xlfn.XLOOKUP($A83,'Change in Proportion Calc'!$A$5:$A$311,'Change in Proportion Calc'!O$5:O$311,,0,)</f>
        <v>-2423</v>
      </c>
      <c r="G83" s="85">
        <f>_xlfn.XLOOKUP($A83,'Change in Proportion Calc'!$A$5:$A$311,'Change in Proportion Calc'!P$5:P$311,,0,)</f>
        <v>-2255</v>
      </c>
      <c r="H83" s="228"/>
      <c r="I83" s="85">
        <v>5027</v>
      </c>
      <c r="J83" s="85">
        <v>5027</v>
      </c>
      <c r="K83" s="85">
        <v>5027</v>
      </c>
      <c r="L83" s="85">
        <v>5027</v>
      </c>
      <c r="M83" s="85">
        <v>4372</v>
      </c>
      <c r="N83" s="85"/>
      <c r="O83" s="85">
        <v>-4465</v>
      </c>
      <c r="P83" s="85">
        <v>-4465</v>
      </c>
      <c r="Q83" s="85">
        <v>-4465</v>
      </c>
      <c r="R83" s="85">
        <v>-3976</v>
      </c>
      <c r="S83" s="228"/>
      <c r="T83" s="85">
        <v>7370</v>
      </c>
      <c r="U83" s="85">
        <v>7370</v>
      </c>
      <c r="V83" s="85">
        <v>7223</v>
      </c>
      <c r="W83" s="228"/>
      <c r="X83" s="243">
        <v>-1803</v>
      </c>
      <c r="Y83" s="244">
        <v>-1768</v>
      </c>
      <c r="Z83" s="62"/>
      <c r="AA83" s="141">
        <v>1492</v>
      </c>
      <c r="AD83" s="244">
        <f>VLOOKUP(A83,'Change in Proportion Calc'!$A$5:$H$311,8,FALSE)+SUMIF($C$5:$AB$5,2025,C83:AB83)</f>
        <v>5198</v>
      </c>
      <c r="AF83" s="243">
        <f t="shared" si="9"/>
        <v>34046</v>
      </c>
      <c r="AG83" s="243">
        <f t="shared" si="10"/>
        <v>26621</v>
      </c>
      <c r="AI83" s="243">
        <f>VLOOKUP(A83,'OPEB Amounts_Report'!$A$10:$G$324,7,FALSE)</f>
        <v>34046</v>
      </c>
      <c r="AJ83" s="244">
        <f t="shared" si="11"/>
        <v>0</v>
      </c>
      <c r="AK83" s="244"/>
      <c r="AL83" s="354">
        <f t="shared" si="12"/>
        <v>2363</v>
      </c>
      <c r="AM83" s="243">
        <f t="shared" si="13"/>
        <v>3741</v>
      </c>
      <c r="AN83" s="243">
        <f t="shared" si="14"/>
        <v>5362</v>
      </c>
      <c r="AO83" s="243">
        <f t="shared" si="15"/>
        <v>-1372</v>
      </c>
      <c r="AP83" s="243">
        <f t="shared" si="16"/>
        <v>1949</v>
      </c>
      <c r="AQ83" s="243">
        <f t="shared" si="17"/>
        <v>-2255</v>
      </c>
    </row>
    <row r="84" spans="1:43">
      <c r="A84" s="61">
        <v>2364</v>
      </c>
      <c r="B84" s="62" t="s">
        <v>76</v>
      </c>
      <c r="C84" s="85">
        <f>_xlfn.XLOOKUP($A84,'Change in Proportion Calc'!$A$5:$A$311,'Change in Proportion Calc'!L$5:L$311,,0,)</f>
        <v>12853</v>
      </c>
      <c r="D84" s="85">
        <f>_xlfn.XLOOKUP($A84,'Change in Proportion Calc'!$A$5:$A$311,'Change in Proportion Calc'!M$5:M$311,,0,)</f>
        <v>12853</v>
      </c>
      <c r="E84" s="85">
        <f>_xlfn.XLOOKUP($A84,'Change in Proportion Calc'!$A$5:$A$311,'Change in Proportion Calc'!N$5:N$311,,0,)</f>
        <v>12853</v>
      </c>
      <c r="F84" s="85">
        <f>_xlfn.XLOOKUP($A84,'Change in Proportion Calc'!$A$5:$A$311,'Change in Proportion Calc'!O$5:O$311,,0,)</f>
        <v>12853</v>
      </c>
      <c r="G84" s="85">
        <f>_xlfn.XLOOKUP($A84,'Change in Proportion Calc'!$A$5:$A$311,'Change in Proportion Calc'!P$5:P$311,,0,)</f>
        <v>11953</v>
      </c>
      <c r="H84" s="228"/>
      <c r="I84" s="85">
        <v>19281</v>
      </c>
      <c r="J84" s="85">
        <v>19281</v>
      </c>
      <c r="K84" s="85">
        <v>19281</v>
      </c>
      <c r="L84" s="85">
        <v>19281</v>
      </c>
      <c r="M84" s="85">
        <v>16774</v>
      </c>
      <c r="N84" s="85"/>
      <c r="O84" s="85">
        <v>101893</v>
      </c>
      <c r="P84" s="85">
        <v>101893</v>
      </c>
      <c r="Q84" s="85">
        <v>101893</v>
      </c>
      <c r="R84" s="85">
        <v>90686</v>
      </c>
      <c r="S84" s="228"/>
      <c r="T84" s="85">
        <v>64710</v>
      </c>
      <c r="U84" s="85">
        <v>64710</v>
      </c>
      <c r="V84" s="85">
        <v>63418</v>
      </c>
      <c r="W84" s="228"/>
      <c r="X84" s="243">
        <v>12451</v>
      </c>
      <c r="Y84" s="244">
        <v>12202</v>
      </c>
      <c r="Z84" s="62"/>
      <c r="AA84" s="141">
        <v>-10246</v>
      </c>
      <c r="AD84" s="244">
        <f>VLOOKUP(A84,'Change in Proportion Calc'!$A$5:$H$311,8,FALSE)+SUMIF($C$5:$AB$5,2025,C84:AB84)</f>
        <v>200942</v>
      </c>
      <c r="AF84" s="243">
        <f t="shared" si="9"/>
        <v>572784</v>
      </c>
      <c r="AG84" s="243">
        <f t="shared" si="10"/>
        <v>0</v>
      </c>
      <c r="AI84" s="243">
        <f>VLOOKUP(A84,'OPEB Amounts_Report'!$A$10:$G$324,7,FALSE)</f>
        <v>572784</v>
      </c>
      <c r="AJ84" s="244">
        <f t="shared" si="11"/>
        <v>0</v>
      </c>
      <c r="AK84" s="244"/>
      <c r="AL84" s="354">
        <f t="shared" si="12"/>
        <v>2364</v>
      </c>
      <c r="AM84" s="243">
        <f t="shared" si="13"/>
        <v>210939</v>
      </c>
      <c r="AN84" s="243">
        <f t="shared" si="14"/>
        <v>197445</v>
      </c>
      <c r="AO84" s="243">
        <f t="shared" si="15"/>
        <v>122820</v>
      </c>
      <c r="AP84" s="243">
        <f t="shared" si="16"/>
        <v>29627</v>
      </c>
      <c r="AQ84" s="243">
        <f t="shared" si="17"/>
        <v>11953</v>
      </c>
    </row>
    <row r="85" spans="1:43">
      <c r="A85" s="59">
        <v>25319</v>
      </c>
      <c r="B85" s="63" t="s">
        <v>77</v>
      </c>
      <c r="C85" s="85">
        <f>_xlfn.XLOOKUP($A85,'Change in Proportion Calc'!$A$5:$A$311,'Change in Proportion Calc'!L$5:L$311,,0,)</f>
        <v>-2947</v>
      </c>
      <c r="D85" s="85">
        <f>_xlfn.XLOOKUP($A85,'Change in Proportion Calc'!$A$5:$A$311,'Change in Proportion Calc'!M$5:M$311,,0,)</f>
        <v>-2947</v>
      </c>
      <c r="E85" s="85">
        <f>_xlfn.XLOOKUP($A85,'Change in Proportion Calc'!$A$5:$A$311,'Change in Proportion Calc'!N$5:N$311,,0,)</f>
        <v>-2947</v>
      </c>
      <c r="F85" s="85">
        <f>_xlfn.XLOOKUP($A85,'Change in Proportion Calc'!$A$5:$A$311,'Change in Proportion Calc'!O$5:O$311,,0,)</f>
        <v>-2947</v>
      </c>
      <c r="G85" s="85">
        <f>_xlfn.XLOOKUP($A85,'Change in Proportion Calc'!$A$5:$A$311,'Change in Proportion Calc'!P$5:P$311,,0,)</f>
        <v>-2741</v>
      </c>
      <c r="H85" s="228"/>
      <c r="I85" s="85">
        <v>-23367</v>
      </c>
      <c r="J85" s="85">
        <v>-23367</v>
      </c>
      <c r="K85" s="85">
        <v>-23367</v>
      </c>
      <c r="L85" s="85">
        <v>-23367</v>
      </c>
      <c r="M85" s="85">
        <v>-20327</v>
      </c>
      <c r="N85" s="85"/>
      <c r="O85" s="85">
        <v>142</v>
      </c>
      <c r="P85" s="85">
        <v>142</v>
      </c>
      <c r="Q85" s="85">
        <v>142</v>
      </c>
      <c r="R85" s="85">
        <v>126</v>
      </c>
      <c r="S85" s="228"/>
      <c r="T85" s="85">
        <v>18304</v>
      </c>
      <c r="U85" s="85">
        <v>18304</v>
      </c>
      <c r="V85" s="85">
        <v>17936</v>
      </c>
      <c r="W85" s="228"/>
      <c r="X85" s="243">
        <v>5324</v>
      </c>
      <c r="Y85" s="244">
        <v>5217</v>
      </c>
      <c r="Z85" s="62"/>
      <c r="AA85" s="141">
        <v>1302</v>
      </c>
      <c r="AD85" s="244">
        <f>VLOOKUP(A85,'Change in Proportion Calc'!$A$5:$H$311,8,FALSE)+SUMIF($C$5:$AB$5,2025,C85:AB85)</f>
        <v>-1242</v>
      </c>
      <c r="AF85" s="243">
        <f t="shared" si="9"/>
        <v>41867</v>
      </c>
      <c r="AG85" s="243">
        <f t="shared" si="10"/>
        <v>104957</v>
      </c>
      <c r="AI85" s="243">
        <f>VLOOKUP(A85,'OPEB Amounts_Report'!$A$10:$G$324,7,FALSE)</f>
        <v>41867</v>
      </c>
      <c r="AJ85" s="244">
        <f t="shared" si="11"/>
        <v>0</v>
      </c>
      <c r="AK85" s="244"/>
      <c r="AL85" s="354">
        <f t="shared" si="12"/>
        <v>25319</v>
      </c>
      <c r="AM85" s="243">
        <f t="shared" si="13"/>
        <v>-2651</v>
      </c>
      <c r="AN85" s="243">
        <f t="shared" si="14"/>
        <v>-8236</v>
      </c>
      <c r="AO85" s="243">
        <f t="shared" si="15"/>
        <v>-26188</v>
      </c>
      <c r="AP85" s="243">
        <f t="shared" si="16"/>
        <v>-23274</v>
      </c>
      <c r="AQ85" s="243">
        <f t="shared" si="17"/>
        <v>-2741</v>
      </c>
    </row>
    <row r="86" spans="1:43">
      <c r="A86" s="61">
        <v>29087</v>
      </c>
      <c r="B86" s="62" t="s">
        <v>78</v>
      </c>
      <c r="C86" s="85">
        <f>_xlfn.XLOOKUP($A86,'Change in Proportion Calc'!$A$5:$A$311,'Change in Proportion Calc'!L$5:L$311,,0,)</f>
        <v>73608</v>
      </c>
      <c r="D86" s="85">
        <f>_xlfn.XLOOKUP($A86,'Change in Proportion Calc'!$A$5:$A$311,'Change in Proportion Calc'!M$5:M$311,,0,)</f>
        <v>73608</v>
      </c>
      <c r="E86" s="85">
        <f>_xlfn.XLOOKUP($A86,'Change in Proportion Calc'!$A$5:$A$311,'Change in Proportion Calc'!N$5:N$311,,0,)</f>
        <v>73608</v>
      </c>
      <c r="F86" s="85">
        <f>_xlfn.XLOOKUP($A86,'Change in Proportion Calc'!$A$5:$A$311,'Change in Proportion Calc'!O$5:O$311,,0,)</f>
        <v>73608</v>
      </c>
      <c r="G86" s="85">
        <f>_xlfn.XLOOKUP($A86,'Change in Proportion Calc'!$A$5:$A$311,'Change in Proportion Calc'!P$5:P$311,,0,)</f>
        <v>68456</v>
      </c>
      <c r="H86" s="228"/>
      <c r="I86" s="85">
        <v>196053</v>
      </c>
      <c r="J86" s="85">
        <v>196053</v>
      </c>
      <c r="K86" s="85">
        <v>196053</v>
      </c>
      <c r="L86" s="85">
        <v>196053</v>
      </c>
      <c r="M86" s="85">
        <v>170564</v>
      </c>
      <c r="N86" s="85"/>
      <c r="O86" s="85">
        <v>98184</v>
      </c>
      <c r="P86" s="85">
        <v>98184</v>
      </c>
      <c r="Q86" s="85">
        <v>98184</v>
      </c>
      <c r="R86" s="85">
        <v>87385</v>
      </c>
      <c r="S86" s="228"/>
      <c r="T86" s="85">
        <v>-39928</v>
      </c>
      <c r="U86" s="85">
        <v>-39928</v>
      </c>
      <c r="V86" s="85">
        <v>-39128</v>
      </c>
      <c r="W86" s="228"/>
      <c r="X86" s="243">
        <v>191832</v>
      </c>
      <c r="Y86" s="244">
        <v>187993</v>
      </c>
      <c r="Z86" s="62"/>
      <c r="AA86" s="141">
        <v>52532</v>
      </c>
      <c r="AD86" s="244">
        <f>VLOOKUP(A86,'Change in Proportion Calc'!$A$5:$H$311,8,FALSE)+SUMIF($C$5:$AB$5,2025,C86:AB86)</f>
        <v>572281</v>
      </c>
      <c r="AF86" s="243">
        <f t="shared" si="9"/>
        <v>1593357</v>
      </c>
      <c r="AG86" s="243">
        <f t="shared" si="10"/>
        <v>79056</v>
      </c>
      <c r="AI86" s="243">
        <f>VLOOKUP(A86,'OPEB Amounts_Report'!$A$10:$G$324,7,FALSE)</f>
        <v>1593357</v>
      </c>
      <c r="AJ86" s="244">
        <f t="shared" si="11"/>
        <v>0</v>
      </c>
      <c r="AK86" s="244"/>
      <c r="AL86" s="354">
        <f t="shared" si="12"/>
        <v>29087</v>
      </c>
      <c r="AM86" s="243">
        <f t="shared" si="13"/>
        <v>515910</v>
      </c>
      <c r="AN86" s="243">
        <f t="shared" si="14"/>
        <v>328717</v>
      </c>
      <c r="AO86" s="243">
        <f t="shared" si="15"/>
        <v>357046</v>
      </c>
      <c r="AP86" s="243">
        <f t="shared" si="16"/>
        <v>244172</v>
      </c>
      <c r="AQ86" s="243">
        <f t="shared" si="17"/>
        <v>68456</v>
      </c>
    </row>
    <row r="87" spans="1:43">
      <c r="A87" s="59">
        <v>3060</v>
      </c>
      <c r="B87" s="63" t="s">
        <v>79</v>
      </c>
      <c r="C87" s="85">
        <f>_xlfn.XLOOKUP($A87,'Change in Proportion Calc'!$A$5:$A$311,'Change in Proportion Calc'!L$5:L$311,,0,)</f>
        <v>-4953</v>
      </c>
      <c r="D87" s="85">
        <f>_xlfn.XLOOKUP($A87,'Change in Proportion Calc'!$A$5:$A$311,'Change in Proportion Calc'!M$5:M$311,,0,)</f>
        <v>-4953</v>
      </c>
      <c r="E87" s="85">
        <f>_xlfn.XLOOKUP($A87,'Change in Proportion Calc'!$A$5:$A$311,'Change in Proportion Calc'!N$5:N$311,,0,)</f>
        <v>-4953</v>
      </c>
      <c r="F87" s="85">
        <f>_xlfn.XLOOKUP($A87,'Change in Proportion Calc'!$A$5:$A$311,'Change in Proportion Calc'!O$5:O$311,,0,)</f>
        <v>-4953</v>
      </c>
      <c r="G87" s="85">
        <f>_xlfn.XLOOKUP($A87,'Change in Proportion Calc'!$A$5:$A$311,'Change in Proportion Calc'!P$5:P$311,,0,)</f>
        <v>-4607</v>
      </c>
      <c r="H87" s="228"/>
      <c r="I87" s="85">
        <v>-10268</v>
      </c>
      <c r="J87" s="85">
        <v>-10268</v>
      </c>
      <c r="K87" s="85">
        <v>-10268</v>
      </c>
      <c r="L87" s="85">
        <v>-10268</v>
      </c>
      <c r="M87" s="85">
        <v>-8933</v>
      </c>
      <c r="N87" s="85"/>
      <c r="O87" s="85">
        <v>-39125</v>
      </c>
      <c r="P87" s="85">
        <v>-39125</v>
      </c>
      <c r="Q87" s="85">
        <v>-39125</v>
      </c>
      <c r="R87" s="85">
        <v>-34821</v>
      </c>
      <c r="S87" s="228"/>
      <c r="T87" s="85">
        <v>-91599</v>
      </c>
      <c r="U87" s="85">
        <v>-91599</v>
      </c>
      <c r="V87" s="85">
        <v>-89767</v>
      </c>
      <c r="W87" s="228"/>
      <c r="X87" s="243">
        <v>7470</v>
      </c>
      <c r="Y87" s="244">
        <v>7323</v>
      </c>
      <c r="Z87" s="62"/>
      <c r="AA87" s="141">
        <v>-63768</v>
      </c>
      <c r="AD87" s="244">
        <f>VLOOKUP(A87,'Change in Proportion Calc'!$A$5:$H$311,8,FALSE)+SUMIF($C$5:$AB$5,2025,C87:AB87)</f>
        <v>-202243</v>
      </c>
      <c r="AF87" s="243">
        <f t="shared" si="9"/>
        <v>7323</v>
      </c>
      <c r="AG87" s="243">
        <f t="shared" si="10"/>
        <v>358593</v>
      </c>
      <c r="AI87" s="243">
        <f>VLOOKUP(A87,'OPEB Amounts_Report'!$A$10:$G$324,7,FALSE)</f>
        <v>7323</v>
      </c>
      <c r="AJ87" s="244">
        <f t="shared" si="11"/>
        <v>0</v>
      </c>
      <c r="AK87" s="244"/>
      <c r="AL87" s="354">
        <f t="shared" si="12"/>
        <v>3060</v>
      </c>
      <c r="AM87" s="243">
        <f t="shared" si="13"/>
        <v>-138622</v>
      </c>
      <c r="AN87" s="243">
        <f t="shared" si="14"/>
        <v>-144113</v>
      </c>
      <c r="AO87" s="243">
        <f t="shared" si="15"/>
        <v>-50042</v>
      </c>
      <c r="AP87" s="243">
        <f t="shared" si="16"/>
        <v>-13886</v>
      </c>
      <c r="AQ87" s="243">
        <f t="shared" si="17"/>
        <v>-4607</v>
      </c>
    </row>
    <row r="88" spans="1:43">
      <c r="A88" s="61">
        <v>19301</v>
      </c>
      <c r="B88" s="62" t="s">
        <v>80</v>
      </c>
      <c r="C88" s="85">
        <f>_xlfn.XLOOKUP($A88,'Change in Proportion Calc'!$A$5:$A$311,'Change in Proportion Calc'!L$5:L$311,,0,)</f>
        <v>3792</v>
      </c>
      <c r="D88" s="85">
        <f>_xlfn.XLOOKUP($A88,'Change in Proportion Calc'!$A$5:$A$311,'Change in Proportion Calc'!M$5:M$311,,0,)</f>
        <v>3792</v>
      </c>
      <c r="E88" s="85">
        <f>_xlfn.XLOOKUP($A88,'Change in Proportion Calc'!$A$5:$A$311,'Change in Proportion Calc'!N$5:N$311,,0,)</f>
        <v>3792</v>
      </c>
      <c r="F88" s="85">
        <f>_xlfn.XLOOKUP($A88,'Change in Proportion Calc'!$A$5:$A$311,'Change in Proportion Calc'!O$5:O$311,,0,)</f>
        <v>3792</v>
      </c>
      <c r="G88" s="85">
        <f>_xlfn.XLOOKUP($A88,'Change in Proportion Calc'!$A$5:$A$311,'Change in Proportion Calc'!P$5:P$311,,0,)</f>
        <v>3524</v>
      </c>
      <c r="H88" s="228"/>
      <c r="I88" s="85">
        <v>4309</v>
      </c>
      <c r="J88" s="85">
        <v>4309</v>
      </c>
      <c r="K88" s="85">
        <v>4309</v>
      </c>
      <c r="L88" s="85">
        <v>4309</v>
      </c>
      <c r="M88" s="85">
        <v>3748</v>
      </c>
      <c r="N88" s="85"/>
      <c r="O88" s="85">
        <v>20661</v>
      </c>
      <c r="P88" s="85">
        <v>20661</v>
      </c>
      <c r="Q88" s="85">
        <v>20661</v>
      </c>
      <c r="R88" s="85">
        <v>18390</v>
      </c>
      <c r="S88" s="228"/>
      <c r="T88" s="85">
        <v>243</v>
      </c>
      <c r="U88" s="85">
        <v>243</v>
      </c>
      <c r="V88" s="85">
        <v>238</v>
      </c>
      <c r="W88" s="228"/>
      <c r="X88" s="243">
        <v>-29968</v>
      </c>
      <c r="Y88" s="244">
        <v>-29370</v>
      </c>
      <c r="Z88" s="62"/>
      <c r="AA88" s="141">
        <v>-2483</v>
      </c>
      <c r="AD88" s="244">
        <f>VLOOKUP(A88,'Change in Proportion Calc'!$A$5:$H$311,8,FALSE)+SUMIF($C$5:$AB$5,2025,C88:AB88)</f>
        <v>-3446</v>
      </c>
      <c r="AF88" s="243">
        <f t="shared" si="9"/>
        <v>95560</v>
      </c>
      <c r="AG88" s="243">
        <f t="shared" si="10"/>
        <v>29370</v>
      </c>
      <c r="AI88" s="243">
        <f>VLOOKUP(A88,'OPEB Amounts_Report'!$A$10:$G$324,7,FALSE)</f>
        <v>95560</v>
      </c>
      <c r="AJ88" s="244">
        <f t="shared" si="11"/>
        <v>0</v>
      </c>
      <c r="AK88" s="244"/>
      <c r="AL88" s="354">
        <f t="shared" si="12"/>
        <v>19301</v>
      </c>
      <c r="AM88" s="243">
        <f t="shared" si="13"/>
        <v>-365</v>
      </c>
      <c r="AN88" s="243">
        <f t="shared" si="14"/>
        <v>29000</v>
      </c>
      <c r="AO88" s="243">
        <f t="shared" si="15"/>
        <v>26491</v>
      </c>
      <c r="AP88" s="243">
        <f t="shared" si="16"/>
        <v>7540</v>
      </c>
      <c r="AQ88" s="243">
        <f t="shared" si="17"/>
        <v>3524</v>
      </c>
    </row>
    <row r="89" spans="1:43">
      <c r="A89" s="59">
        <v>19059</v>
      </c>
      <c r="B89" s="63" t="s">
        <v>81</v>
      </c>
      <c r="C89" s="85">
        <f>_xlfn.XLOOKUP($A89,'Change in Proportion Calc'!$A$5:$A$311,'Change in Proportion Calc'!L$5:L$311,,0,)</f>
        <v>-191881</v>
      </c>
      <c r="D89" s="85">
        <f>_xlfn.XLOOKUP($A89,'Change in Proportion Calc'!$A$5:$A$311,'Change in Proportion Calc'!M$5:M$311,,0,)</f>
        <v>-191881</v>
      </c>
      <c r="E89" s="85">
        <f>_xlfn.XLOOKUP($A89,'Change in Proportion Calc'!$A$5:$A$311,'Change in Proportion Calc'!N$5:N$311,,0,)</f>
        <v>-191881</v>
      </c>
      <c r="F89" s="85">
        <f>_xlfn.XLOOKUP($A89,'Change in Proportion Calc'!$A$5:$A$311,'Change in Proportion Calc'!O$5:O$311,,0,)</f>
        <v>-191881</v>
      </c>
      <c r="G89" s="85">
        <f>_xlfn.XLOOKUP($A89,'Change in Proportion Calc'!$A$5:$A$311,'Change in Proportion Calc'!P$5:P$311,,0,)</f>
        <v>-178450</v>
      </c>
      <c r="H89" s="228"/>
      <c r="I89" s="85">
        <v>-145736</v>
      </c>
      <c r="J89" s="85">
        <v>-145736</v>
      </c>
      <c r="K89" s="85">
        <v>-145736</v>
      </c>
      <c r="L89" s="85">
        <v>-145736</v>
      </c>
      <c r="M89" s="85">
        <v>-126789</v>
      </c>
      <c r="N89" s="85"/>
      <c r="O89" s="85">
        <v>454487</v>
      </c>
      <c r="P89" s="85">
        <v>454487</v>
      </c>
      <c r="Q89" s="85">
        <v>454487</v>
      </c>
      <c r="R89" s="85">
        <v>404492</v>
      </c>
      <c r="S89" s="228"/>
      <c r="T89" s="85">
        <v>-73943</v>
      </c>
      <c r="U89" s="85">
        <v>-73943</v>
      </c>
      <c r="V89" s="85">
        <v>-72466</v>
      </c>
      <c r="W89" s="228"/>
      <c r="X89" s="243">
        <v>369495</v>
      </c>
      <c r="Y89" s="244">
        <v>362103</v>
      </c>
      <c r="Z89" s="62"/>
      <c r="AA89" s="141">
        <v>147780</v>
      </c>
      <c r="AD89" s="244">
        <f>VLOOKUP(A89,'Change in Proportion Calc'!$A$5:$H$311,8,FALSE)+SUMIF($C$5:$AB$5,2025,C89:AB89)</f>
        <v>560202</v>
      </c>
      <c r="AF89" s="243">
        <f t="shared" si="9"/>
        <v>1675569</v>
      </c>
      <c r="AG89" s="243">
        <f t="shared" si="10"/>
        <v>1656380</v>
      </c>
      <c r="AI89" s="243">
        <f>VLOOKUP(A89,'OPEB Amounts_Report'!$A$10:$G$324,7,FALSE)</f>
        <v>1675569</v>
      </c>
      <c r="AJ89" s="244">
        <f t="shared" si="11"/>
        <v>0</v>
      </c>
      <c r="AK89" s="244"/>
      <c r="AL89" s="354">
        <f t="shared" si="12"/>
        <v>19059</v>
      </c>
      <c r="AM89" s="243">
        <f t="shared" si="13"/>
        <v>405030</v>
      </c>
      <c r="AN89" s="243">
        <f t="shared" si="14"/>
        <v>44404</v>
      </c>
      <c r="AO89" s="243">
        <f t="shared" si="15"/>
        <v>66875</v>
      </c>
      <c r="AP89" s="243">
        <f t="shared" si="16"/>
        <v>-318670</v>
      </c>
      <c r="AQ89" s="243">
        <f t="shared" si="17"/>
        <v>-178450</v>
      </c>
    </row>
    <row r="90" spans="1:43">
      <c r="A90" s="61">
        <v>18057</v>
      </c>
      <c r="B90" s="62" t="s">
        <v>82</v>
      </c>
      <c r="C90" s="85">
        <f>_xlfn.XLOOKUP($A90,'Change in Proportion Calc'!$A$5:$A$311,'Change in Proportion Calc'!L$5:L$311,,0,)</f>
        <v>9692</v>
      </c>
      <c r="D90" s="85">
        <f>_xlfn.XLOOKUP($A90,'Change in Proportion Calc'!$A$5:$A$311,'Change in Proportion Calc'!M$5:M$311,,0,)</f>
        <v>9692</v>
      </c>
      <c r="E90" s="85">
        <f>_xlfn.XLOOKUP($A90,'Change in Proportion Calc'!$A$5:$A$311,'Change in Proportion Calc'!N$5:N$311,,0,)</f>
        <v>9692</v>
      </c>
      <c r="F90" s="85">
        <f>_xlfn.XLOOKUP($A90,'Change in Proportion Calc'!$A$5:$A$311,'Change in Proportion Calc'!O$5:O$311,,0,)</f>
        <v>9692</v>
      </c>
      <c r="G90" s="85">
        <f>_xlfn.XLOOKUP($A90,'Change in Proportion Calc'!$A$5:$A$311,'Change in Proportion Calc'!P$5:P$311,,0,)</f>
        <v>9015</v>
      </c>
      <c r="H90" s="228"/>
      <c r="I90" s="85">
        <v>8332</v>
      </c>
      <c r="J90" s="85">
        <v>8332</v>
      </c>
      <c r="K90" s="85">
        <v>8332</v>
      </c>
      <c r="L90" s="85">
        <v>8332</v>
      </c>
      <c r="M90" s="85">
        <v>7249</v>
      </c>
      <c r="N90" s="85"/>
      <c r="O90" s="85">
        <v>8149</v>
      </c>
      <c r="P90" s="85">
        <v>8149</v>
      </c>
      <c r="Q90" s="85">
        <v>8149</v>
      </c>
      <c r="R90" s="85">
        <v>7255</v>
      </c>
      <c r="S90" s="228"/>
      <c r="T90" s="85">
        <v>2754</v>
      </c>
      <c r="U90" s="85">
        <v>2754</v>
      </c>
      <c r="V90" s="85">
        <v>2697</v>
      </c>
      <c r="W90" s="228"/>
      <c r="X90" s="243">
        <v>-6869</v>
      </c>
      <c r="Y90" s="244">
        <v>-6734</v>
      </c>
      <c r="Z90" s="62"/>
      <c r="AA90" s="141">
        <v>-2483</v>
      </c>
      <c r="AD90" s="244">
        <f>VLOOKUP(A90,'Change in Proportion Calc'!$A$5:$H$311,8,FALSE)+SUMIF($C$5:$AB$5,2025,C90:AB90)</f>
        <v>19575</v>
      </c>
      <c r="AF90" s="243">
        <f t="shared" si="9"/>
        <v>109032</v>
      </c>
      <c r="AG90" s="243">
        <f t="shared" si="10"/>
        <v>6734</v>
      </c>
      <c r="AI90" s="243">
        <f>VLOOKUP(A90,'OPEB Amounts_Report'!$A$10:$G$324,7,FALSE)</f>
        <v>109032</v>
      </c>
      <c r="AJ90" s="244">
        <f t="shared" si="11"/>
        <v>0</v>
      </c>
      <c r="AK90" s="244"/>
      <c r="AL90" s="354">
        <f t="shared" si="12"/>
        <v>18057</v>
      </c>
      <c r="AM90" s="243">
        <f t="shared" si="13"/>
        <v>22193</v>
      </c>
      <c r="AN90" s="243">
        <f t="shared" si="14"/>
        <v>28870</v>
      </c>
      <c r="AO90" s="243">
        <f t="shared" si="15"/>
        <v>25279</v>
      </c>
      <c r="AP90" s="243">
        <f t="shared" si="16"/>
        <v>16941</v>
      </c>
      <c r="AQ90" s="243">
        <f t="shared" si="17"/>
        <v>9015</v>
      </c>
    </row>
    <row r="91" spans="1:43">
      <c r="A91" s="59">
        <v>4008</v>
      </c>
      <c r="B91" s="63" t="s">
        <v>83</v>
      </c>
      <c r="C91" s="85">
        <f>_xlfn.XLOOKUP($A91,'Change in Proportion Calc'!$A$5:$A$311,'Change in Proportion Calc'!L$5:L$311,,0,)</f>
        <v>-50734</v>
      </c>
      <c r="D91" s="85">
        <f>_xlfn.XLOOKUP($A91,'Change in Proportion Calc'!$A$5:$A$311,'Change in Proportion Calc'!M$5:M$311,,0,)</f>
        <v>-50734</v>
      </c>
      <c r="E91" s="85">
        <f>_xlfn.XLOOKUP($A91,'Change in Proportion Calc'!$A$5:$A$311,'Change in Proportion Calc'!N$5:N$311,,0,)</f>
        <v>-50734</v>
      </c>
      <c r="F91" s="85">
        <f>_xlfn.XLOOKUP($A91,'Change in Proportion Calc'!$A$5:$A$311,'Change in Proportion Calc'!O$5:O$311,,0,)</f>
        <v>-50734</v>
      </c>
      <c r="G91" s="85">
        <f>_xlfn.XLOOKUP($A91,'Change in Proportion Calc'!$A$5:$A$311,'Change in Proportion Calc'!P$5:P$311,,0,)</f>
        <v>-47181</v>
      </c>
      <c r="H91" s="228"/>
      <c r="I91" s="85">
        <v>93780</v>
      </c>
      <c r="J91" s="85">
        <v>93780</v>
      </c>
      <c r="K91" s="85">
        <v>93780</v>
      </c>
      <c r="L91" s="85">
        <v>93780</v>
      </c>
      <c r="M91" s="85">
        <v>81587</v>
      </c>
      <c r="N91" s="85"/>
      <c r="O91" s="85">
        <v>-32836</v>
      </c>
      <c r="P91" s="85">
        <v>-32836</v>
      </c>
      <c r="Q91" s="85">
        <v>-32836</v>
      </c>
      <c r="R91" s="85">
        <v>-29226</v>
      </c>
      <c r="S91" s="228"/>
      <c r="T91" s="85">
        <v>26564</v>
      </c>
      <c r="U91" s="85">
        <v>26564</v>
      </c>
      <c r="V91" s="85">
        <v>26035</v>
      </c>
      <c r="W91" s="228"/>
      <c r="X91" s="243">
        <v>-33403</v>
      </c>
      <c r="Y91" s="244">
        <v>-32735</v>
      </c>
      <c r="Z91" s="62"/>
      <c r="AA91" s="141">
        <v>-46136</v>
      </c>
      <c r="AD91" s="244">
        <f>VLOOKUP(A91,'Change in Proportion Calc'!$A$5:$H$311,8,FALSE)+SUMIF($C$5:$AB$5,2025,C91:AB91)</f>
        <v>-42765</v>
      </c>
      <c r="AF91" s="243">
        <f t="shared" si="9"/>
        <v>415526</v>
      </c>
      <c r="AG91" s="243">
        <f t="shared" si="10"/>
        <v>377750</v>
      </c>
      <c r="AI91" s="243">
        <f>VLOOKUP(A91,'OPEB Amounts_Report'!$A$10:$G$324,7,FALSE)</f>
        <v>415526</v>
      </c>
      <c r="AJ91" s="244">
        <f t="shared" si="11"/>
        <v>0</v>
      </c>
      <c r="AK91" s="244"/>
      <c r="AL91" s="354">
        <f t="shared" si="12"/>
        <v>4008</v>
      </c>
      <c r="AM91" s="243">
        <f t="shared" si="13"/>
        <v>4039</v>
      </c>
      <c r="AN91" s="243">
        <f t="shared" si="14"/>
        <v>36245</v>
      </c>
      <c r="AO91" s="243">
        <f t="shared" si="15"/>
        <v>13820</v>
      </c>
      <c r="AP91" s="243">
        <f t="shared" si="16"/>
        <v>30853</v>
      </c>
      <c r="AQ91" s="243">
        <f t="shared" si="17"/>
        <v>-47181</v>
      </c>
    </row>
    <row r="92" spans="1:43">
      <c r="A92" s="118">
        <v>2350</v>
      </c>
      <c r="B92" s="119" t="s">
        <v>84</v>
      </c>
      <c r="C92" s="85">
        <f>_xlfn.XLOOKUP($A92,'Change in Proportion Calc'!$A$5:$A$311,'Change in Proportion Calc'!L$5:L$311,,0,)</f>
        <v>-18020</v>
      </c>
      <c r="D92" s="85">
        <f>_xlfn.XLOOKUP($A92,'Change in Proportion Calc'!$A$5:$A$311,'Change in Proportion Calc'!M$5:M$311,,0,)</f>
        <v>-18020</v>
      </c>
      <c r="E92" s="85">
        <f>_xlfn.XLOOKUP($A92,'Change in Proportion Calc'!$A$5:$A$311,'Change in Proportion Calc'!N$5:N$311,,0,)</f>
        <v>-18020</v>
      </c>
      <c r="F92" s="85">
        <f>_xlfn.XLOOKUP($A92,'Change in Proportion Calc'!$A$5:$A$311,'Change in Proportion Calc'!O$5:O$311,,0,)</f>
        <v>-18020</v>
      </c>
      <c r="G92" s="85">
        <f>_xlfn.XLOOKUP($A92,'Change in Proportion Calc'!$A$5:$A$311,'Change in Proportion Calc'!P$5:P$311,,0,)</f>
        <v>-16760</v>
      </c>
      <c r="H92" s="228"/>
      <c r="I92" s="85">
        <v>12838</v>
      </c>
      <c r="J92" s="85">
        <v>12838</v>
      </c>
      <c r="K92" s="85">
        <v>12838</v>
      </c>
      <c r="L92" s="85">
        <v>12838</v>
      </c>
      <c r="M92" s="85">
        <v>11167</v>
      </c>
      <c r="N92" s="85"/>
      <c r="O92" s="85">
        <v>10410</v>
      </c>
      <c r="P92" s="85">
        <v>10410</v>
      </c>
      <c r="Q92" s="85">
        <v>10410</v>
      </c>
      <c r="R92" s="85">
        <v>9263</v>
      </c>
      <c r="S92" s="228"/>
      <c r="T92" s="85">
        <v>27294</v>
      </c>
      <c r="U92" s="85">
        <v>27294</v>
      </c>
      <c r="V92" s="85">
        <v>26746</v>
      </c>
      <c r="W92" s="228"/>
      <c r="X92" s="243">
        <v>15456</v>
      </c>
      <c r="Y92" s="244">
        <v>15149</v>
      </c>
      <c r="Z92" s="62"/>
      <c r="AA92" s="141">
        <v>1430</v>
      </c>
      <c r="AD92" s="244">
        <f>VLOOKUP(A92,'Change in Proportion Calc'!$A$5:$H$311,8,FALSE)+SUMIF($C$5:$AB$5,2025,C92:AB92)</f>
        <v>49408</v>
      </c>
      <c r="AF92" s="243">
        <f t="shared" si="9"/>
        <v>148953</v>
      </c>
      <c r="AG92" s="243">
        <f t="shared" si="10"/>
        <v>88840</v>
      </c>
      <c r="AI92" s="243">
        <f>VLOOKUP(A92,'OPEB Amounts_Report'!$A$10:$G$324,7,FALSE)</f>
        <v>148953</v>
      </c>
      <c r="AJ92" s="244">
        <f t="shared" si="11"/>
        <v>0</v>
      </c>
      <c r="AK92" s="244"/>
      <c r="AL92" s="354">
        <f t="shared" si="12"/>
        <v>2350</v>
      </c>
      <c r="AM92" s="243">
        <f t="shared" si="13"/>
        <v>47671</v>
      </c>
      <c r="AN92" s="243">
        <f t="shared" si="14"/>
        <v>31974</v>
      </c>
      <c r="AO92" s="243">
        <f t="shared" si="15"/>
        <v>4081</v>
      </c>
      <c r="AP92" s="243">
        <f t="shared" si="16"/>
        <v>-6853</v>
      </c>
      <c r="AQ92" s="243">
        <f t="shared" si="17"/>
        <v>-16760</v>
      </c>
    </row>
    <row r="93" spans="1:43">
      <c r="A93" s="59">
        <v>11117</v>
      </c>
      <c r="B93" s="63" t="s">
        <v>85</v>
      </c>
      <c r="C93" s="85">
        <f>_xlfn.XLOOKUP($A93,'Change in Proportion Calc'!$A$5:$A$311,'Change in Proportion Calc'!L$5:L$311,,0,)</f>
        <v>-13523</v>
      </c>
      <c r="D93" s="85">
        <f>_xlfn.XLOOKUP($A93,'Change in Proportion Calc'!$A$5:$A$311,'Change in Proportion Calc'!M$5:M$311,,0,)</f>
        <v>-13523</v>
      </c>
      <c r="E93" s="85">
        <f>_xlfn.XLOOKUP($A93,'Change in Proportion Calc'!$A$5:$A$311,'Change in Proportion Calc'!N$5:N$311,,0,)</f>
        <v>-13523</v>
      </c>
      <c r="F93" s="85">
        <f>_xlfn.XLOOKUP($A93,'Change in Proportion Calc'!$A$5:$A$311,'Change in Proportion Calc'!O$5:O$311,,0,)</f>
        <v>-13523</v>
      </c>
      <c r="G93" s="85">
        <f>_xlfn.XLOOKUP($A93,'Change in Proportion Calc'!$A$5:$A$311,'Change in Proportion Calc'!P$5:P$311,,0,)</f>
        <v>-12579</v>
      </c>
      <c r="H93" s="228"/>
      <c r="I93" s="85">
        <v>-3758</v>
      </c>
      <c r="J93" s="85">
        <v>-3758</v>
      </c>
      <c r="K93" s="85">
        <v>-3758</v>
      </c>
      <c r="L93" s="85">
        <v>-3758</v>
      </c>
      <c r="M93" s="85">
        <v>-3271</v>
      </c>
      <c r="N93" s="85"/>
      <c r="O93" s="85">
        <v>-23556</v>
      </c>
      <c r="P93" s="85">
        <v>-23556</v>
      </c>
      <c r="Q93" s="85">
        <v>-23556</v>
      </c>
      <c r="R93" s="85">
        <v>-20963</v>
      </c>
      <c r="S93" s="228"/>
      <c r="T93" s="85">
        <v>7451</v>
      </c>
      <c r="U93" s="85">
        <v>7451</v>
      </c>
      <c r="V93" s="85">
        <v>7302</v>
      </c>
      <c r="W93" s="228"/>
      <c r="X93" s="243">
        <v>2576</v>
      </c>
      <c r="Y93" s="244">
        <v>2525</v>
      </c>
      <c r="Z93" s="62"/>
      <c r="AA93" s="141">
        <v>-4348</v>
      </c>
      <c r="AD93" s="244">
        <f>VLOOKUP(A93,'Change in Proportion Calc'!$A$5:$H$311,8,FALSE)+SUMIF($C$5:$AB$5,2025,C93:AB93)</f>
        <v>-35158</v>
      </c>
      <c r="AF93" s="243">
        <f t="shared" si="9"/>
        <v>17278</v>
      </c>
      <c r="AG93" s="243">
        <f t="shared" si="10"/>
        <v>149291</v>
      </c>
      <c r="AI93" s="243">
        <f>VLOOKUP(A93,'OPEB Amounts_Report'!$A$10:$G$324,7,FALSE)</f>
        <v>17278</v>
      </c>
      <c r="AJ93" s="244">
        <f t="shared" si="11"/>
        <v>0</v>
      </c>
      <c r="AK93" s="244"/>
      <c r="AL93" s="354">
        <f t="shared" si="12"/>
        <v>11117</v>
      </c>
      <c r="AM93" s="243">
        <f t="shared" si="13"/>
        <v>-30861</v>
      </c>
      <c r="AN93" s="243">
        <f t="shared" si="14"/>
        <v>-33535</v>
      </c>
      <c r="AO93" s="243">
        <f t="shared" si="15"/>
        <v>-38244</v>
      </c>
      <c r="AP93" s="243">
        <f t="shared" si="16"/>
        <v>-16794</v>
      </c>
      <c r="AQ93" s="243">
        <f t="shared" si="17"/>
        <v>-12579</v>
      </c>
    </row>
    <row r="94" spans="1:43">
      <c r="A94" s="61">
        <v>16359</v>
      </c>
      <c r="B94" s="62" t="s">
        <v>86</v>
      </c>
      <c r="C94" s="85">
        <f>_xlfn.XLOOKUP($A94,'Change in Proportion Calc'!$A$5:$A$311,'Change in Proportion Calc'!L$5:L$311,,0,)</f>
        <v>-15576</v>
      </c>
      <c r="D94" s="85">
        <f>_xlfn.XLOOKUP($A94,'Change in Proportion Calc'!$A$5:$A$311,'Change in Proportion Calc'!M$5:M$311,,0,)</f>
        <v>-15576</v>
      </c>
      <c r="E94" s="85">
        <f>_xlfn.XLOOKUP($A94,'Change in Proportion Calc'!$A$5:$A$311,'Change in Proportion Calc'!N$5:N$311,,0,)</f>
        <v>-15576</v>
      </c>
      <c r="F94" s="85">
        <f>_xlfn.XLOOKUP($A94,'Change in Proportion Calc'!$A$5:$A$311,'Change in Proportion Calc'!O$5:O$311,,0,)</f>
        <v>-15576</v>
      </c>
      <c r="G94" s="85">
        <f>_xlfn.XLOOKUP($A94,'Change in Proportion Calc'!$A$5:$A$311,'Change in Proportion Calc'!P$5:P$311,,0,)</f>
        <v>-14484</v>
      </c>
      <c r="H94" s="228"/>
      <c r="I94" s="85">
        <v>20855</v>
      </c>
      <c r="J94" s="85">
        <v>20855</v>
      </c>
      <c r="K94" s="85">
        <v>20855</v>
      </c>
      <c r="L94" s="85">
        <v>20855</v>
      </c>
      <c r="M94" s="85">
        <v>18144</v>
      </c>
      <c r="N94" s="85"/>
      <c r="O94" s="85">
        <v>5406</v>
      </c>
      <c r="P94" s="85">
        <v>5406</v>
      </c>
      <c r="Q94" s="85">
        <v>5406</v>
      </c>
      <c r="R94" s="85">
        <v>4813</v>
      </c>
      <c r="S94" s="228"/>
      <c r="T94" s="85">
        <v>9233</v>
      </c>
      <c r="U94" s="85">
        <v>9233</v>
      </c>
      <c r="V94" s="85">
        <v>9047</v>
      </c>
      <c r="W94" s="228"/>
      <c r="X94" s="243">
        <v>2490</v>
      </c>
      <c r="Y94" s="244">
        <v>2441</v>
      </c>
      <c r="Z94" s="62"/>
      <c r="AA94" s="141">
        <v>-6085</v>
      </c>
      <c r="AD94" s="244">
        <f>VLOOKUP(A94,'Change in Proportion Calc'!$A$5:$H$311,8,FALSE)+SUMIF($C$5:$AB$5,2025,C94:AB94)</f>
        <v>16323</v>
      </c>
      <c r="AF94" s="243">
        <f t="shared" si="9"/>
        <v>117055</v>
      </c>
      <c r="AG94" s="243">
        <f t="shared" si="10"/>
        <v>76788</v>
      </c>
      <c r="AI94" s="243">
        <f>VLOOKUP(A94,'OPEB Amounts_Report'!$A$10:$G$324,7,FALSE)</f>
        <v>117055</v>
      </c>
      <c r="AJ94" s="244">
        <f t="shared" si="11"/>
        <v>0</v>
      </c>
      <c r="AK94" s="244"/>
      <c r="AL94" s="354">
        <f t="shared" si="12"/>
        <v>16359</v>
      </c>
      <c r="AM94" s="243">
        <f t="shared" si="13"/>
        <v>22359</v>
      </c>
      <c r="AN94" s="243">
        <f t="shared" si="14"/>
        <v>19732</v>
      </c>
      <c r="AO94" s="243">
        <f t="shared" si="15"/>
        <v>10092</v>
      </c>
      <c r="AP94" s="243">
        <f t="shared" si="16"/>
        <v>2568</v>
      </c>
      <c r="AQ94" s="243">
        <f t="shared" si="17"/>
        <v>-14484</v>
      </c>
    </row>
    <row r="95" spans="1:43">
      <c r="A95" s="59">
        <v>17115</v>
      </c>
      <c r="B95" s="63" t="s">
        <v>87</v>
      </c>
      <c r="C95" s="85">
        <f>_xlfn.XLOOKUP($A95,'Change in Proportion Calc'!$A$5:$A$311,'Change in Proportion Calc'!L$5:L$311,,0,)</f>
        <v>11690</v>
      </c>
      <c r="D95" s="85">
        <f>_xlfn.XLOOKUP($A95,'Change in Proportion Calc'!$A$5:$A$311,'Change in Proportion Calc'!M$5:M$311,,0,)</f>
        <v>11690</v>
      </c>
      <c r="E95" s="85">
        <f>_xlfn.XLOOKUP($A95,'Change in Proportion Calc'!$A$5:$A$311,'Change in Proportion Calc'!N$5:N$311,,0,)</f>
        <v>11690</v>
      </c>
      <c r="F95" s="85">
        <f>_xlfn.XLOOKUP($A95,'Change in Proportion Calc'!$A$5:$A$311,'Change in Proportion Calc'!O$5:O$311,,0,)</f>
        <v>11690</v>
      </c>
      <c r="G95" s="85">
        <f>_xlfn.XLOOKUP($A95,'Change in Proportion Calc'!$A$5:$A$311,'Change in Proportion Calc'!P$5:P$311,,0,)</f>
        <v>10871</v>
      </c>
      <c r="H95" s="228"/>
      <c r="I95" s="85">
        <v>66763</v>
      </c>
      <c r="J95" s="85">
        <v>66763</v>
      </c>
      <c r="K95" s="85">
        <v>66763</v>
      </c>
      <c r="L95" s="85">
        <v>66763</v>
      </c>
      <c r="M95" s="85">
        <v>58086</v>
      </c>
      <c r="N95" s="85"/>
      <c r="O95" s="85">
        <v>75270</v>
      </c>
      <c r="P95" s="85">
        <v>75270</v>
      </c>
      <c r="Q95" s="85">
        <v>75270</v>
      </c>
      <c r="R95" s="85">
        <v>66992</v>
      </c>
      <c r="S95" s="228"/>
      <c r="T95" s="85">
        <v>-99860</v>
      </c>
      <c r="U95" s="85">
        <v>-99860</v>
      </c>
      <c r="V95" s="85">
        <v>-97863</v>
      </c>
      <c r="W95" s="228"/>
      <c r="X95" s="243">
        <v>10905</v>
      </c>
      <c r="Y95" s="244">
        <v>10689</v>
      </c>
      <c r="Z95" s="62"/>
      <c r="AA95" s="141">
        <v>36574</v>
      </c>
      <c r="AD95" s="244">
        <f>VLOOKUP(A95,'Change in Proportion Calc'!$A$5:$H$311,8,FALSE)+SUMIF($C$5:$AB$5,2025,C95:AB95)</f>
        <v>101342</v>
      </c>
      <c r="AF95" s="243">
        <f t="shared" si="9"/>
        <v>544227</v>
      </c>
      <c r="AG95" s="243">
        <f t="shared" si="10"/>
        <v>197723</v>
      </c>
      <c r="AI95" s="243">
        <f>VLOOKUP(A95,'OPEB Amounts_Report'!$A$10:$G$324,7,FALSE)</f>
        <v>544227</v>
      </c>
      <c r="AJ95" s="244">
        <f t="shared" si="11"/>
        <v>0</v>
      </c>
      <c r="AK95" s="244"/>
      <c r="AL95" s="354">
        <f t="shared" si="12"/>
        <v>17115</v>
      </c>
      <c r="AM95" s="243">
        <f t="shared" si="13"/>
        <v>64552</v>
      </c>
      <c r="AN95" s="243">
        <f t="shared" si="14"/>
        <v>55860</v>
      </c>
      <c r="AO95" s="243">
        <f t="shared" si="15"/>
        <v>145445</v>
      </c>
      <c r="AP95" s="243">
        <f t="shared" si="16"/>
        <v>69776</v>
      </c>
      <c r="AQ95" s="243">
        <f t="shared" si="17"/>
        <v>10871</v>
      </c>
    </row>
    <row r="96" spans="1:43">
      <c r="A96" s="61">
        <v>32117</v>
      </c>
      <c r="B96" s="62" t="s">
        <v>88</v>
      </c>
      <c r="C96" s="85">
        <f>_xlfn.XLOOKUP($A96,'Change in Proportion Calc'!$A$5:$A$311,'Change in Proportion Calc'!L$5:L$311,,0,)</f>
        <v>4805</v>
      </c>
      <c r="D96" s="85">
        <f>_xlfn.XLOOKUP($A96,'Change in Proportion Calc'!$A$5:$A$311,'Change in Proportion Calc'!M$5:M$311,,0,)</f>
        <v>4805</v>
      </c>
      <c r="E96" s="85">
        <f>_xlfn.XLOOKUP($A96,'Change in Proportion Calc'!$A$5:$A$311,'Change in Proportion Calc'!N$5:N$311,,0,)</f>
        <v>4805</v>
      </c>
      <c r="F96" s="85">
        <f>_xlfn.XLOOKUP($A96,'Change in Proportion Calc'!$A$5:$A$311,'Change in Proportion Calc'!O$5:O$311,,0,)</f>
        <v>4805</v>
      </c>
      <c r="G96" s="85">
        <f>_xlfn.XLOOKUP($A96,'Change in Proportion Calc'!$A$5:$A$311,'Change in Proportion Calc'!P$5:P$311,,0,)</f>
        <v>4469</v>
      </c>
      <c r="H96" s="228"/>
      <c r="I96" s="85">
        <v>15354</v>
      </c>
      <c r="J96" s="85">
        <v>15354</v>
      </c>
      <c r="K96" s="85">
        <v>15354</v>
      </c>
      <c r="L96" s="85">
        <v>15354</v>
      </c>
      <c r="M96" s="85">
        <v>13356</v>
      </c>
      <c r="N96" s="85"/>
      <c r="O96" s="85">
        <v>1990</v>
      </c>
      <c r="P96" s="85">
        <v>1990</v>
      </c>
      <c r="Q96" s="85">
        <v>1990</v>
      </c>
      <c r="R96" s="85">
        <v>1772</v>
      </c>
      <c r="S96" s="228"/>
      <c r="T96" s="85">
        <v>4859</v>
      </c>
      <c r="U96" s="85">
        <v>4859</v>
      </c>
      <c r="V96" s="85">
        <v>4764</v>
      </c>
      <c r="W96" s="228"/>
      <c r="X96" s="243">
        <v>10991</v>
      </c>
      <c r="Y96" s="244">
        <v>10773</v>
      </c>
      <c r="Z96" s="62"/>
      <c r="AA96" s="141">
        <v>-808</v>
      </c>
      <c r="AD96" s="244">
        <f>VLOOKUP(A96,'Change in Proportion Calc'!$A$5:$H$311,8,FALSE)+SUMIF($C$5:$AB$5,2025,C96:AB96)</f>
        <v>37191</v>
      </c>
      <c r="AF96" s="243">
        <f t="shared" si="9"/>
        <v>109255</v>
      </c>
      <c r="AG96" s="243">
        <f t="shared" si="10"/>
        <v>0</v>
      </c>
      <c r="AI96" s="243">
        <f>VLOOKUP(A96,'OPEB Amounts_Report'!$A$10:$G$324,7,FALSE)</f>
        <v>109255</v>
      </c>
      <c r="AJ96" s="244">
        <f t="shared" si="11"/>
        <v>0</v>
      </c>
      <c r="AK96" s="244"/>
      <c r="AL96" s="354">
        <f t="shared" si="12"/>
        <v>32117</v>
      </c>
      <c r="AM96" s="243">
        <f t="shared" si="13"/>
        <v>37781</v>
      </c>
      <c r="AN96" s="243">
        <f t="shared" si="14"/>
        <v>26913</v>
      </c>
      <c r="AO96" s="243">
        <f t="shared" si="15"/>
        <v>21931</v>
      </c>
      <c r="AP96" s="243">
        <f t="shared" si="16"/>
        <v>18161</v>
      </c>
      <c r="AQ96" s="243">
        <f t="shared" si="17"/>
        <v>4469</v>
      </c>
    </row>
    <row r="97" spans="1:43">
      <c r="A97" s="59">
        <v>2304</v>
      </c>
      <c r="B97" s="63" t="s">
        <v>89</v>
      </c>
      <c r="C97" s="85">
        <f>_xlfn.XLOOKUP($A97,'Change in Proportion Calc'!$A$5:$A$311,'Change in Proportion Calc'!L$5:L$311,,0,)</f>
        <v>40500</v>
      </c>
      <c r="D97" s="85">
        <f>_xlfn.XLOOKUP($A97,'Change in Proportion Calc'!$A$5:$A$311,'Change in Proportion Calc'!M$5:M$311,,0,)</f>
        <v>40500</v>
      </c>
      <c r="E97" s="85">
        <f>_xlfn.XLOOKUP($A97,'Change in Proportion Calc'!$A$5:$A$311,'Change in Proportion Calc'!N$5:N$311,,0,)</f>
        <v>40500</v>
      </c>
      <c r="F97" s="85">
        <f>_xlfn.XLOOKUP($A97,'Change in Proportion Calc'!$A$5:$A$311,'Change in Proportion Calc'!O$5:O$311,,0,)</f>
        <v>40500</v>
      </c>
      <c r="G97" s="85">
        <f>_xlfn.XLOOKUP($A97,'Change in Proportion Calc'!$A$5:$A$311,'Change in Proportion Calc'!P$5:P$311,,0,)</f>
        <v>37666</v>
      </c>
      <c r="H97" s="228"/>
      <c r="I97" s="85">
        <v>-94399</v>
      </c>
      <c r="J97" s="85">
        <v>-94399</v>
      </c>
      <c r="K97" s="85">
        <v>-94399</v>
      </c>
      <c r="L97" s="85">
        <v>-94399</v>
      </c>
      <c r="M97" s="85">
        <v>-82125</v>
      </c>
      <c r="N97" s="85"/>
      <c r="O97" s="85">
        <v>82847</v>
      </c>
      <c r="P97" s="85">
        <v>82847</v>
      </c>
      <c r="Q97" s="85">
        <v>82847</v>
      </c>
      <c r="R97" s="85">
        <v>73736</v>
      </c>
      <c r="S97" s="228"/>
      <c r="T97" s="85">
        <v>11987</v>
      </c>
      <c r="U97" s="85">
        <v>11987</v>
      </c>
      <c r="V97" s="85">
        <v>11745</v>
      </c>
      <c r="W97" s="228"/>
      <c r="X97" s="243">
        <v>3778</v>
      </c>
      <c r="Y97" s="244">
        <v>3704</v>
      </c>
      <c r="Z97" s="62"/>
      <c r="AA97" s="141">
        <v>3167</v>
      </c>
      <c r="AD97" s="244">
        <f>VLOOKUP(A97,'Change in Proportion Calc'!$A$5:$H$311,8,FALSE)+SUMIF($C$5:$AB$5,2025,C97:AB97)</f>
        <v>47880</v>
      </c>
      <c r="AF97" s="243">
        <f t="shared" si="9"/>
        <v>466532</v>
      </c>
      <c r="AG97" s="243">
        <f t="shared" si="10"/>
        <v>365322</v>
      </c>
      <c r="AI97" s="243">
        <f>VLOOKUP(A97,'OPEB Amounts_Report'!$A$10:$G$324,7,FALSE)</f>
        <v>466532</v>
      </c>
      <c r="AJ97" s="244">
        <f t="shared" si="11"/>
        <v>0</v>
      </c>
      <c r="AK97" s="244"/>
      <c r="AL97" s="354">
        <f t="shared" si="12"/>
        <v>2304</v>
      </c>
      <c r="AM97" s="243">
        <f t="shared" si="13"/>
        <v>44639</v>
      </c>
      <c r="AN97" s="243">
        <f t="shared" si="14"/>
        <v>40693</v>
      </c>
      <c r="AO97" s="243">
        <f t="shared" si="15"/>
        <v>19837</v>
      </c>
      <c r="AP97" s="243">
        <f t="shared" si="16"/>
        <v>-41625</v>
      </c>
      <c r="AQ97" s="243">
        <f t="shared" si="17"/>
        <v>37666</v>
      </c>
    </row>
    <row r="98" spans="1:43">
      <c r="A98" s="61">
        <v>11101</v>
      </c>
      <c r="B98" s="62" t="s">
        <v>91</v>
      </c>
      <c r="C98" s="85">
        <f>_xlfn.XLOOKUP($A98,'Change in Proportion Calc'!$A$5:$A$311,'Change in Proportion Calc'!L$5:L$311,,0,)</f>
        <v>187510</v>
      </c>
      <c r="D98" s="85">
        <f>_xlfn.XLOOKUP($A98,'Change in Proportion Calc'!$A$5:$A$311,'Change in Proportion Calc'!M$5:M$311,,0,)</f>
        <v>187510</v>
      </c>
      <c r="E98" s="85">
        <f>_xlfn.XLOOKUP($A98,'Change in Proportion Calc'!$A$5:$A$311,'Change in Proportion Calc'!N$5:N$311,,0,)</f>
        <v>187510</v>
      </c>
      <c r="F98" s="85">
        <f>_xlfn.XLOOKUP($A98,'Change in Proportion Calc'!$A$5:$A$311,'Change in Proportion Calc'!O$5:O$311,,0,)</f>
        <v>187510</v>
      </c>
      <c r="G98" s="85">
        <f>_xlfn.XLOOKUP($A98,'Change in Proportion Calc'!$A$5:$A$311,'Change in Proportion Calc'!P$5:P$311,,0,)</f>
        <v>174382</v>
      </c>
      <c r="H98" s="228"/>
      <c r="I98" s="85">
        <v>-845444</v>
      </c>
      <c r="J98" s="85">
        <v>-845444</v>
      </c>
      <c r="K98" s="85">
        <v>-845444</v>
      </c>
      <c r="L98" s="85">
        <v>-845444</v>
      </c>
      <c r="M98" s="85">
        <v>-735534</v>
      </c>
      <c r="N98" s="85"/>
      <c r="O98" s="85">
        <v>351674</v>
      </c>
      <c r="P98" s="85">
        <v>351674</v>
      </c>
      <c r="Q98" s="85">
        <v>351674</v>
      </c>
      <c r="R98" s="85">
        <v>312991</v>
      </c>
      <c r="S98" s="228"/>
      <c r="T98" s="85">
        <v>-150883</v>
      </c>
      <c r="U98" s="85">
        <v>-150883</v>
      </c>
      <c r="V98" s="85">
        <v>-147867</v>
      </c>
      <c r="W98" s="228"/>
      <c r="X98" s="243">
        <v>183932</v>
      </c>
      <c r="Y98" s="244">
        <v>180251</v>
      </c>
      <c r="Z98" s="62"/>
      <c r="AA98" s="141">
        <v>-647439</v>
      </c>
      <c r="AD98" s="244">
        <f>VLOOKUP(A98,'Change in Proportion Calc'!$A$5:$H$311,8,FALSE)+SUMIF($C$5:$AB$5,2025,C98:AB98)</f>
        <v>-920650</v>
      </c>
      <c r="AF98" s="243">
        <f t="shared" si="9"/>
        <v>2121012</v>
      </c>
      <c r="AG98" s="243">
        <f t="shared" si="10"/>
        <v>3570616</v>
      </c>
      <c r="AI98" s="243">
        <f>VLOOKUP(A98,'OPEB Amounts_Report'!$A$10:$G$324,7,FALSE)</f>
        <v>2121012</v>
      </c>
      <c r="AJ98" s="244">
        <f t="shared" si="11"/>
        <v>0</v>
      </c>
      <c r="AK98" s="244"/>
      <c r="AL98" s="354">
        <f t="shared" si="12"/>
        <v>11101</v>
      </c>
      <c r="AM98" s="243">
        <f t="shared" si="13"/>
        <v>-276892</v>
      </c>
      <c r="AN98" s="243">
        <f t="shared" si="14"/>
        <v>-454127</v>
      </c>
      <c r="AO98" s="243">
        <f t="shared" si="15"/>
        <v>-344943</v>
      </c>
      <c r="AP98" s="243">
        <f t="shared" si="16"/>
        <v>-548024</v>
      </c>
      <c r="AQ98" s="243">
        <f t="shared" si="17"/>
        <v>174382</v>
      </c>
    </row>
    <row r="99" spans="1:43">
      <c r="A99" s="59">
        <v>11102</v>
      </c>
      <c r="B99" s="63" t="s">
        <v>90</v>
      </c>
      <c r="C99" s="85">
        <f>_xlfn.XLOOKUP($A99,'Change in Proportion Calc'!$A$5:$A$311,'Change in Proportion Calc'!L$5:L$311,,0,)</f>
        <v>-27518</v>
      </c>
      <c r="D99" s="85">
        <f>_xlfn.XLOOKUP($A99,'Change in Proportion Calc'!$A$5:$A$311,'Change in Proportion Calc'!M$5:M$311,,0,)</f>
        <v>-27518</v>
      </c>
      <c r="E99" s="85">
        <f>_xlfn.XLOOKUP($A99,'Change in Proportion Calc'!$A$5:$A$311,'Change in Proportion Calc'!N$5:N$311,,0,)</f>
        <v>-27518</v>
      </c>
      <c r="F99" s="85">
        <f>_xlfn.XLOOKUP($A99,'Change in Proportion Calc'!$A$5:$A$311,'Change in Proportion Calc'!O$5:O$311,,0,)</f>
        <v>-27518</v>
      </c>
      <c r="G99" s="85">
        <f>_xlfn.XLOOKUP($A99,'Change in Proportion Calc'!$A$5:$A$311,'Change in Proportion Calc'!P$5:P$311,,0,)</f>
        <v>-25590</v>
      </c>
      <c r="H99" s="228"/>
      <c r="I99" s="85">
        <v>6807</v>
      </c>
      <c r="J99" s="85">
        <v>6807</v>
      </c>
      <c r="K99" s="85">
        <v>6807</v>
      </c>
      <c r="L99" s="85">
        <v>6807</v>
      </c>
      <c r="M99" s="85">
        <v>5920</v>
      </c>
      <c r="N99" s="85"/>
      <c r="O99" s="85">
        <v>62430</v>
      </c>
      <c r="P99" s="85">
        <v>62430</v>
      </c>
      <c r="Q99" s="85">
        <v>62430</v>
      </c>
      <c r="R99" s="85">
        <v>55562</v>
      </c>
      <c r="S99" s="228"/>
      <c r="T99" s="85">
        <v>-82366</v>
      </c>
      <c r="U99" s="85">
        <v>-82366</v>
      </c>
      <c r="V99" s="85">
        <v>-80720</v>
      </c>
      <c r="W99" s="228"/>
      <c r="X99" s="243">
        <v>-192862</v>
      </c>
      <c r="Y99" s="244">
        <v>-189004</v>
      </c>
      <c r="Z99" s="62"/>
      <c r="AA99" s="141">
        <v>-40234</v>
      </c>
      <c r="AD99" s="244">
        <f>VLOOKUP(A99,'Change in Proportion Calc'!$A$5:$H$311,8,FALSE)+SUMIF($C$5:$AB$5,2025,C99:AB99)</f>
        <v>-273743</v>
      </c>
      <c r="AF99" s="243">
        <f t="shared" si="9"/>
        <v>206763</v>
      </c>
      <c r="AG99" s="243">
        <f t="shared" si="10"/>
        <v>487752</v>
      </c>
      <c r="AI99" s="243">
        <f>VLOOKUP(A99,'OPEB Amounts_Report'!$A$10:$G$324,7,FALSE)</f>
        <v>206763</v>
      </c>
      <c r="AJ99" s="244">
        <f t="shared" si="11"/>
        <v>0</v>
      </c>
      <c r="AK99" s="244"/>
      <c r="AL99" s="354">
        <f t="shared" si="12"/>
        <v>11102</v>
      </c>
      <c r="AM99" s="243">
        <f t="shared" si="13"/>
        <v>-229651</v>
      </c>
      <c r="AN99" s="243">
        <f t="shared" si="14"/>
        <v>-39001</v>
      </c>
      <c r="AO99" s="243">
        <f t="shared" si="15"/>
        <v>34851</v>
      </c>
      <c r="AP99" s="243">
        <f t="shared" si="16"/>
        <v>-21598</v>
      </c>
      <c r="AQ99" s="243">
        <f t="shared" si="17"/>
        <v>-25590</v>
      </c>
    </row>
    <row r="100" spans="1:43">
      <c r="A100" s="61">
        <v>3100</v>
      </c>
      <c r="B100" s="62" t="s">
        <v>92</v>
      </c>
      <c r="C100" s="85">
        <f>_xlfn.XLOOKUP($A100,'Change in Proportion Calc'!$A$5:$A$311,'Change in Proportion Calc'!L$5:L$311,,0,)</f>
        <v>93693</v>
      </c>
      <c r="D100" s="85">
        <f>_xlfn.XLOOKUP($A100,'Change in Proportion Calc'!$A$5:$A$311,'Change in Proportion Calc'!M$5:M$311,,0,)</f>
        <v>93693</v>
      </c>
      <c r="E100" s="85">
        <f>_xlfn.XLOOKUP($A100,'Change in Proportion Calc'!$A$5:$A$311,'Change in Proportion Calc'!N$5:N$311,,0,)</f>
        <v>93693</v>
      </c>
      <c r="F100" s="85">
        <f>_xlfn.XLOOKUP($A100,'Change in Proportion Calc'!$A$5:$A$311,'Change in Proportion Calc'!O$5:O$311,,0,)</f>
        <v>93693</v>
      </c>
      <c r="G100" s="85">
        <f>_xlfn.XLOOKUP($A100,'Change in Proportion Calc'!$A$5:$A$311,'Change in Proportion Calc'!P$5:P$311,,0,)</f>
        <v>87136</v>
      </c>
      <c r="H100" s="228"/>
      <c r="I100" s="85">
        <v>-238630</v>
      </c>
      <c r="J100" s="85">
        <v>-238630</v>
      </c>
      <c r="K100" s="85">
        <v>-238630</v>
      </c>
      <c r="L100" s="85">
        <v>-238630</v>
      </c>
      <c r="M100" s="85">
        <v>-207608</v>
      </c>
      <c r="N100" s="85"/>
      <c r="O100" s="85">
        <v>-120633</v>
      </c>
      <c r="P100" s="85">
        <v>-120633</v>
      </c>
      <c r="Q100" s="85">
        <v>-120633</v>
      </c>
      <c r="R100" s="85">
        <v>-107361</v>
      </c>
      <c r="S100" s="228"/>
      <c r="T100" s="85">
        <v>299985</v>
      </c>
      <c r="U100" s="85">
        <v>299985</v>
      </c>
      <c r="V100" s="85">
        <v>293985</v>
      </c>
      <c r="W100" s="228"/>
      <c r="X100" s="243">
        <v>-114635</v>
      </c>
      <c r="Y100" s="244">
        <v>-112344</v>
      </c>
      <c r="Z100" s="62"/>
      <c r="AA100" s="141">
        <v>88977</v>
      </c>
      <c r="AD100" s="244">
        <f>VLOOKUP(A100,'Change in Proportion Calc'!$A$5:$H$311,8,FALSE)+SUMIF($C$5:$AB$5,2025,C100:AB100)</f>
        <v>8757</v>
      </c>
      <c r="AF100" s="243">
        <f t="shared" si="9"/>
        <v>1055878</v>
      </c>
      <c r="AG100" s="243">
        <f t="shared" si="10"/>
        <v>1384469</v>
      </c>
      <c r="AI100" s="243">
        <f>VLOOKUP(A100,'OPEB Amounts_Report'!$A$10:$G$324,7,FALSE)</f>
        <v>1055878</v>
      </c>
      <c r="AJ100" s="244">
        <f t="shared" si="11"/>
        <v>0</v>
      </c>
      <c r="AK100" s="244"/>
      <c r="AL100" s="354">
        <f t="shared" si="12"/>
        <v>3100</v>
      </c>
      <c r="AM100" s="243">
        <f t="shared" si="13"/>
        <v>-77929</v>
      </c>
      <c r="AN100" s="243">
        <f t="shared" si="14"/>
        <v>28415</v>
      </c>
      <c r="AO100" s="243">
        <f t="shared" si="15"/>
        <v>-252298</v>
      </c>
      <c r="AP100" s="243">
        <f t="shared" si="16"/>
        <v>-113915</v>
      </c>
      <c r="AQ100" s="243">
        <f t="shared" si="17"/>
        <v>87136</v>
      </c>
    </row>
    <row r="101" spans="1:43">
      <c r="A101" s="59">
        <v>2323</v>
      </c>
      <c r="B101" s="63" t="s">
        <v>93</v>
      </c>
      <c r="C101" s="85">
        <f>_xlfn.XLOOKUP($A101,'Change in Proportion Calc'!$A$5:$A$311,'Change in Proportion Calc'!L$5:L$311,,0,)</f>
        <v>-28777</v>
      </c>
      <c r="D101" s="85">
        <f>_xlfn.XLOOKUP($A101,'Change in Proportion Calc'!$A$5:$A$311,'Change in Proportion Calc'!M$5:M$311,,0,)</f>
        <v>-28777</v>
      </c>
      <c r="E101" s="85">
        <f>_xlfn.XLOOKUP($A101,'Change in Proportion Calc'!$A$5:$A$311,'Change in Proportion Calc'!N$5:N$311,,0,)</f>
        <v>-28777</v>
      </c>
      <c r="F101" s="85">
        <f>_xlfn.XLOOKUP($A101,'Change in Proportion Calc'!$A$5:$A$311,'Change in Proportion Calc'!O$5:O$311,,0,)</f>
        <v>-28777</v>
      </c>
      <c r="G101" s="85">
        <f>_xlfn.XLOOKUP($A101,'Change in Proportion Calc'!$A$5:$A$311,'Change in Proportion Calc'!P$5:P$311,,0,)</f>
        <v>-26764</v>
      </c>
      <c r="H101" s="228"/>
      <c r="I101" s="85">
        <v>12669</v>
      </c>
      <c r="J101" s="85">
        <v>12669</v>
      </c>
      <c r="K101" s="85">
        <v>12669</v>
      </c>
      <c r="L101" s="85">
        <v>12669</v>
      </c>
      <c r="M101" s="85">
        <v>11023</v>
      </c>
      <c r="N101" s="85"/>
      <c r="O101" s="85">
        <v>9942</v>
      </c>
      <c r="P101" s="85">
        <v>9942</v>
      </c>
      <c r="Q101" s="85">
        <v>9942</v>
      </c>
      <c r="R101" s="85">
        <v>8848</v>
      </c>
      <c r="S101" s="228"/>
      <c r="T101" s="85">
        <v>324</v>
      </c>
      <c r="U101" s="85">
        <v>324</v>
      </c>
      <c r="V101" s="85">
        <v>317</v>
      </c>
      <c r="W101" s="228"/>
      <c r="X101" s="243">
        <v>41818</v>
      </c>
      <c r="Y101" s="244">
        <v>40983</v>
      </c>
      <c r="Z101" s="62"/>
      <c r="AA101" s="141">
        <v>-6644</v>
      </c>
      <c r="AD101" s="244">
        <f>VLOOKUP(A101,'Change in Proportion Calc'!$A$5:$H$311,8,FALSE)+SUMIF($C$5:$AB$5,2025,C101:AB101)</f>
        <v>29332</v>
      </c>
      <c r="AF101" s="243">
        <f t="shared" si="9"/>
        <v>119386</v>
      </c>
      <c r="AG101" s="243">
        <f t="shared" si="10"/>
        <v>141872</v>
      </c>
      <c r="AI101" s="243">
        <f>VLOOKUP(A101,'OPEB Amounts_Report'!$A$10:$G$324,7,FALSE)</f>
        <v>119386</v>
      </c>
      <c r="AJ101" s="244">
        <f t="shared" si="11"/>
        <v>0</v>
      </c>
      <c r="AK101" s="244"/>
      <c r="AL101" s="354">
        <f t="shared" si="12"/>
        <v>2323</v>
      </c>
      <c r="AM101" s="243">
        <f t="shared" si="13"/>
        <v>35141</v>
      </c>
      <c r="AN101" s="243">
        <f t="shared" si="14"/>
        <v>-5849</v>
      </c>
      <c r="AO101" s="243">
        <f t="shared" si="15"/>
        <v>-7260</v>
      </c>
      <c r="AP101" s="243">
        <f t="shared" si="16"/>
        <v>-17754</v>
      </c>
      <c r="AQ101" s="243">
        <f t="shared" si="17"/>
        <v>-26764</v>
      </c>
    </row>
    <row r="102" spans="1:43">
      <c r="A102" s="61">
        <v>11034</v>
      </c>
      <c r="B102" s="62" t="s">
        <v>94</v>
      </c>
      <c r="C102" s="85">
        <f>_xlfn.XLOOKUP($A102,'Change in Proportion Calc'!$A$5:$A$311,'Change in Proportion Calc'!L$5:L$311,,0,)</f>
        <v>-3816</v>
      </c>
      <c r="D102" s="85">
        <f>_xlfn.XLOOKUP($A102,'Change in Proportion Calc'!$A$5:$A$311,'Change in Proportion Calc'!M$5:M$311,,0,)</f>
        <v>-3816</v>
      </c>
      <c r="E102" s="85">
        <f>_xlfn.XLOOKUP($A102,'Change in Proportion Calc'!$A$5:$A$311,'Change in Proportion Calc'!N$5:N$311,,0,)</f>
        <v>-3816</v>
      </c>
      <c r="F102" s="85">
        <f>_xlfn.XLOOKUP($A102,'Change in Proportion Calc'!$A$5:$A$311,'Change in Proportion Calc'!O$5:O$311,,0,)</f>
        <v>-3816</v>
      </c>
      <c r="G102" s="85">
        <f>_xlfn.XLOOKUP($A102,'Change in Proportion Calc'!$A$5:$A$311,'Change in Proportion Calc'!P$5:P$311,,0,)</f>
        <v>-3547</v>
      </c>
      <c r="H102" s="228"/>
      <c r="I102" s="85">
        <v>17813</v>
      </c>
      <c r="J102" s="85">
        <v>17813</v>
      </c>
      <c r="K102" s="85">
        <v>17813</v>
      </c>
      <c r="L102" s="85">
        <v>17813</v>
      </c>
      <c r="M102" s="85">
        <v>15495</v>
      </c>
      <c r="N102" s="85"/>
      <c r="O102" s="85">
        <v>-11388</v>
      </c>
      <c r="P102" s="85">
        <v>-11388</v>
      </c>
      <c r="Q102" s="85">
        <v>-11388</v>
      </c>
      <c r="R102" s="85">
        <v>-10133</v>
      </c>
      <c r="S102" s="228"/>
      <c r="T102" s="85">
        <v>-3078</v>
      </c>
      <c r="U102" s="85">
        <v>-3078</v>
      </c>
      <c r="V102" s="85">
        <v>-3014</v>
      </c>
      <c r="W102" s="228"/>
      <c r="X102" s="243">
        <v>13310</v>
      </c>
      <c r="Y102" s="244">
        <v>13042</v>
      </c>
      <c r="Z102" s="62"/>
      <c r="AA102" s="141">
        <v>42037</v>
      </c>
      <c r="AD102" s="244">
        <f>VLOOKUP(A102,'Change in Proportion Calc'!$A$5:$H$311,8,FALSE)+SUMIF($C$5:$AB$5,2025,C102:AB102)</f>
        <v>54878</v>
      </c>
      <c r="AF102" s="243">
        <f t="shared" si="9"/>
        <v>81976</v>
      </c>
      <c r="AG102" s="243">
        <f t="shared" si="10"/>
        <v>57812</v>
      </c>
      <c r="AI102" s="243">
        <f>VLOOKUP(A102,'OPEB Amounts_Report'!$A$10:$G$324,7,FALSE)</f>
        <v>81976</v>
      </c>
      <c r="AJ102" s="244">
        <f t="shared" si="11"/>
        <v>0</v>
      </c>
      <c r="AK102" s="244"/>
      <c r="AL102" s="354">
        <f t="shared" si="12"/>
        <v>11034</v>
      </c>
      <c r="AM102" s="243">
        <f t="shared" si="13"/>
        <v>12573</v>
      </c>
      <c r="AN102" s="243">
        <f t="shared" si="14"/>
        <v>-405</v>
      </c>
      <c r="AO102" s="243">
        <f t="shared" si="15"/>
        <v>3864</v>
      </c>
      <c r="AP102" s="243">
        <f t="shared" si="16"/>
        <v>11679</v>
      </c>
      <c r="AQ102" s="243">
        <f t="shared" si="17"/>
        <v>-3547</v>
      </c>
    </row>
    <row r="103" spans="1:43">
      <c r="A103" s="59">
        <v>17054</v>
      </c>
      <c r="B103" s="63" t="s">
        <v>95</v>
      </c>
      <c r="C103" s="85">
        <f>_xlfn.XLOOKUP($A103,'Change in Proportion Calc'!$A$5:$A$311,'Change in Proportion Calc'!L$5:L$311,,0,)</f>
        <v>-67549</v>
      </c>
      <c r="D103" s="85">
        <f>_xlfn.XLOOKUP($A103,'Change in Proportion Calc'!$A$5:$A$311,'Change in Proportion Calc'!M$5:M$311,,0,)</f>
        <v>-67549</v>
      </c>
      <c r="E103" s="85">
        <f>_xlfn.XLOOKUP($A103,'Change in Proportion Calc'!$A$5:$A$311,'Change in Proportion Calc'!N$5:N$311,,0,)</f>
        <v>-67549</v>
      </c>
      <c r="F103" s="85">
        <f>_xlfn.XLOOKUP($A103,'Change in Proportion Calc'!$A$5:$A$311,'Change in Proportion Calc'!O$5:O$311,,0,)</f>
        <v>-67549</v>
      </c>
      <c r="G103" s="85">
        <f>_xlfn.XLOOKUP($A103,'Change in Proportion Calc'!$A$5:$A$311,'Change in Proportion Calc'!P$5:P$311,,0,)</f>
        <v>-62819</v>
      </c>
      <c r="H103" s="228"/>
      <c r="I103" s="85">
        <v>-172932</v>
      </c>
      <c r="J103" s="85">
        <v>-172932</v>
      </c>
      <c r="K103" s="85">
        <v>-172932</v>
      </c>
      <c r="L103" s="85">
        <v>-172932</v>
      </c>
      <c r="M103" s="85">
        <v>-150450</v>
      </c>
      <c r="N103" s="85"/>
      <c r="O103" s="85">
        <v>-133629</v>
      </c>
      <c r="P103" s="85">
        <v>-133629</v>
      </c>
      <c r="Q103" s="85">
        <v>-133629</v>
      </c>
      <c r="R103" s="85">
        <v>-118932</v>
      </c>
      <c r="S103" s="228"/>
      <c r="T103" s="85">
        <v>15793</v>
      </c>
      <c r="U103" s="85">
        <v>15793</v>
      </c>
      <c r="V103" s="85">
        <v>15477</v>
      </c>
      <c r="W103" s="228"/>
      <c r="X103" s="243">
        <v>73761</v>
      </c>
      <c r="Y103" s="244">
        <v>72288</v>
      </c>
      <c r="Z103" s="62"/>
      <c r="AA103" s="141">
        <v>-22477</v>
      </c>
      <c r="AD103" s="244">
        <f>VLOOKUP(A103,'Change in Proportion Calc'!$A$5:$H$311,8,FALSE)+SUMIF($C$5:$AB$5,2025,C103:AB103)</f>
        <v>-307033</v>
      </c>
      <c r="AF103" s="243">
        <f t="shared" si="9"/>
        <v>103558</v>
      </c>
      <c r="AG103" s="243">
        <f t="shared" si="10"/>
        <v>1388451</v>
      </c>
      <c r="AI103" s="243">
        <f>VLOOKUP(A103,'OPEB Amounts_Report'!$A$10:$G$324,7,FALSE)</f>
        <v>103558</v>
      </c>
      <c r="AJ103" s="244">
        <f t="shared" si="11"/>
        <v>0</v>
      </c>
      <c r="AK103" s="244"/>
      <c r="AL103" s="354">
        <f t="shared" si="12"/>
        <v>17054</v>
      </c>
      <c r="AM103" s="243">
        <f t="shared" si="13"/>
        <v>-286029</v>
      </c>
      <c r="AN103" s="243">
        <f t="shared" si="14"/>
        <v>-358633</v>
      </c>
      <c r="AO103" s="243">
        <f t="shared" si="15"/>
        <v>-359413</v>
      </c>
      <c r="AP103" s="243">
        <f t="shared" si="16"/>
        <v>-217999</v>
      </c>
      <c r="AQ103" s="243">
        <f t="shared" si="17"/>
        <v>-62819</v>
      </c>
    </row>
    <row r="104" spans="1:43">
      <c r="A104" s="61">
        <v>22065</v>
      </c>
      <c r="B104" s="62" t="s">
        <v>96</v>
      </c>
      <c r="C104" s="85">
        <f>_xlfn.XLOOKUP($A104,'Change in Proportion Calc'!$A$5:$A$311,'Change in Proportion Calc'!L$5:L$311,,0,)</f>
        <v>45721</v>
      </c>
      <c r="D104" s="85">
        <f>_xlfn.XLOOKUP($A104,'Change in Proportion Calc'!$A$5:$A$311,'Change in Proportion Calc'!M$5:M$311,,0,)</f>
        <v>45721</v>
      </c>
      <c r="E104" s="85">
        <f>_xlfn.XLOOKUP($A104,'Change in Proportion Calc'!$A$5:$A$311,'Change in Proportion Calc'!N$5:N$311,,0,)</f>
        <v>45721</v>
      </c>
      <c r="F104" s="85">
        <f>_xlfn.XLOOKUP($A104,'Change in Proportion Calc'!$A$5:$A$311,'Change in Proportion Calc'!O$5:O$311,,0,)</f>
        <v>45721</v>
      </c>
      <c r="G104" s="85">
        <f>_xlfn.XLOOKUP($A104,'Change in Proportion Calc'!$A$5:$A$311,'Change in Proportion Calc'!P$5:P$311,,0,)</f>
        <v>42519</v>
      </c>
      <c r="H104" s="228"/>
      <c r="I104" s="85">
        <v>-22593</v>
      </c>
      <c r="J104" s="85">
        <v>-22593</v>
      </c>
      <c r="K104" s="85">
        <v>-22593</v>
      </c>
      <c r="L104" s="85">
        <v>-22593</v>
      </c>
      <c r="M104" s="85">
        <v>-19656</v>
      </c>
      <c r="N104" s="85"/>
      <c r="O104" s="85">
        <v>23036</v>
      </c>
      <c r="P104" s="85">
        <v>23036</v>
      </c>
      <c r="Q104" s="85">
        <v>23036</v>
      </c>
      <c r="R104" s="85">
        <v>20501</v>
      </c>
      <c r="S104" s="228"/>
      <c r="T104" s="85">
        <v>-4454</v>
      </c>
      <c r="U104" s="85">
        <v>-4454</v>
      </c>
      <c r="V104" s="85">
        <v>-4367</v>
      </c>
      <c r="W104" s="228"/>
      <c r="X104" s="243">
        <v>46713</v>
      </c>
      <c r="Y104" s="244">
        <v>45777</v>
      </c>
      <c r="Z104" s="62"/>
      <c r="AA104" s="141">
        <v>-4969</v>
      </c>
      <c r="AD104" s="244">
        <f>VLOOKUP(A104,'Change in Proportion Calc'!$A$5:$H$311,8,FALSE)+SUMIF($C$5:$AB$5,2025,C104:AB104)</f>
        <v>83454</v>
      </c>
      <c r="AF104" s="243">
        <f t="shared" si="9"/>
        <v>337753</v>
      </c>
      <c r="AG104" s="243">
        <f t="shared" si="10"/>
        <v>96256</v>
      </c>
      <c r="AI104" s="243">
        <f>VLOOKUP(A104,'OPEB Amounts_Report'!$A$10:$G$324,7,FALSE)</f>
        <v>337753</v>
      </c>
      <c r="AJ104" s="244">
        <f t="shared" si="11"/>
        <v>0</v>
      </c>
      <c r="AK104" s="244"/>
      <c r="AL104" s="354">
        <f t="shared" si="12"/>
        <v>22065</v>
      </c>
      <c r="AM104" s="243">
        <f t="shared" si="13"/>
        <v>87487</v>
      </c>
      <c r="AN104" s="243">
        <f t="shared" si="14"/>
        <v>41797</v>
      </c>
      <c r="AO104" s="243">
        <f t="shared" si="15"/>
        <v>43629</v>
      </c>
      <c r="AP104" s="243">
        <f t="shared" si="16"/>
        <v>26065</v>
      </c>
      <c r="AQ104" s="243">
        <f t="shared" si="17"/>
        <v>42519</v>
      </c>
    </row>
    <row r="105" spans="1:43">
      <c r="A105" s="59">
        <v>22201</v>
      </c>
      <c r="B105" s="63" t="s">
        <v>97</v>
      </c>
      <c r="C105" s="85">
        <f>_xlfn.XLOOKUP($A105,'Change in Proportion Calc'!$A$5:$A$311,'Change in Proportion Calc'!L$5:L$311,,0,)</f>
        <v>40662</v>
      </c>
      <c r="D105" s="85">
        <f>_xlfn.XLOOKUP($A105,'Change in Proportion Calc'!$A$5:$A$311,'Change in Proportion Calc'!M$5:M$311,,0,)</f>
        <v>40662</v>
      </c>
      <c r="E105" s="85">
        <f>_xlfn.XLOOKUP($A105,'Change in Proportion Calc'!$A$5:$A$311,'Change in Proportion Calc'!N$5:N$311,,0,)</f>
        <v>40662</v>
      </c>
      <c r="F105" s="85">
        <f>_xlfn.XLOOKUP($A105,'Change in Proportion Calc'!$A$5:$A$311,'Change in Proportion Calc'!O$5:O$311,,0,)</f>
        <v>40662</v>
      </c>
      <c r="G105" s="85">
        <f>_xlfn.XLOOKUP($A105,'Change in Proportion Calc'!$A$5:$A$311,'Change in Proportion Calc'!P$5:P$311,,0,)</f>
        <v>37818</v>
      </c>
      <c r="H105" s="228"/>
      <c r="I105" s="85">
        <v>20557</v>
      </c>
      <c r="J105" s="85">
        <v>20557</v>
      </c>
      <c r="K105" s="85">
        <v>20557</v>
      </c>
      <c r="L105" s="85">
        <v>20557</v>
      </c>
      <c r="M105" s="85">
        <v>17887</v>
      </c>
      <c r="N105" s="85"/>
      <c r="O105" s="85">
        <v>24112</v>
      </c>
      <c r="P105" s="85">
        <v>24112</v>
      </c>
      <c r="Q105" s="85">
        <v>24112</v>
      </c>
      <c r="R105" s="85">
        <v>21462</v>
      </c>
      <c r="S105" s="228"/>
      <c r="T105" s="85">
        <v>-9962</v>
      </c>
      <c r="U105" s="85">
        <v>-9962</v>
      </c>
      <c r="V105" s="85">
        <v>-9761</v>
      </c>
      <c r="W105" s="228"/>
      <c r="X105" s="243">
        <v>30569</v>
      </c>
      <c r="Y105" s="244">
        <v>29960</v>
      </c>
      <c r="Z105" s="62"/>
      <c r="AA105" s="141">
        <v>58554</v>
      </c>
      <c r="AD105" s="244">
        <f>VLOOKUP(A105,'Change in Proportion Calc'!$A$5:$H$311,8,FALSE)+SUMIF($C$5:$AB$5,2025,C105:AB105)</f>
        <v>164492</v>
      </c>
      <c r="AF105" s="243">
        <f t="shared" si="9"/>
        <v>379670</v>
      </c>
      <c r="AG105" s="243">
        <f t="shared" si="10"/>
        <v>19723</v>
      </c>
      <c r="AI105" s="243">
        <f>VLOOKUP(A105,'OPEB Amounts_Report'!$A$10:$G$324,7,FALSE)</f>
        <v>379670</v>
      </c>
      <c r="AJ105" s="244">
        <f t="shared" si="11"/>
        <v>0</v>
      </c>
      <c r="AK105" s="244"/>
      <c r="AL105" s="354">
        <f t="shared" si="12"/>
        <v>22201</v>
      </c>
      <c r="AM105" s="243">
        <f t="shared" si="13"/>
        <v>105329</v>
      </c>
      <c r="AN105" s="243">
        <f t="shared" si="14"/>
        <v>75570</v>
      </c>
      <c r="AO105" s="243">
        <f t="shared" si="15"/>
        <v>82681</v>
      </c>
      <c r="AP105" s="243">
        <f t="shared" si="16"/>
        <v>58549</v>
      </c>
      <c r="AQ105" s="243">
        <f t="shared" si="17"/>
        <v>37818</v>
      </c>
    </row>
    <row r="106" spans="1:43">
      <c r="A106" s="61">
        <v>6016</v>
      </c>
      <c r="B106" s="62" t="s">
        <v>98</v>
      </c>
      <c r="C106" s="85">
        <f>_xlfn.XLOOKUP($A106,'Change in Proportion Calc'!$A$5:$A$311,'Change in Proportion Calc'!L$5:L$311,,0,)</f>
        <v>-9810</v>
      </c>
      <c r="D106" s="85">
        <f>_xlfn.XLOOKUP($A106,'Change in Proportion Calc'!$A$5:$A$311,'Change in Proportion Calc'!M$5:M$311,,0,)</f>
        <v>-9810</v>
      </c>
      <c r="E106" s="85">
        <f>_xlfn.XLOOKUP($A106,'Change in Proportion Calc'!$A$5:$A$311,'Change in Proportion Calc'!N$5:N$311,,0,)</f>
        <v>-9810</v>
      </c>
      <c r="F106" s="85">
        <f>_xlfn.XLOOKUP($A106,'Change in Proportion Calc'!$A$5:$A$311,'Change in Proportion Calc'!O$5:O$311,,0,)</f>
        <v>-9810</v>
      </c>
      <c r="G106" s="85">
        <f>_xlfn.XLOOKUP($A106,'Change in Proportion Calc'!$A$5:$A$311,'Change in Proportion Calc'!P$5:P$311,,0,)</f>
        <v>-9125</v>
      </c>
      <c r="H106" s="228"/>
      <c r="I106" s="85">
        <v>-14782</v>
      </c>
      <c r="J106" s="85">
        <v>-14782</v>
      </c>
      <c r="K106" s="85">
        <v>-14782</v>
      </c>
      <c r="L106" s="85">
        <v>-14782</v>
      </c>
      <c r="M106" s="85">
        <v>-12862</v>
      </c>
      <c r="N106" s="85"/>
      <c r="O106" s="85">
        <v>51810</v>
      </c>
      <c r="P106" s="85">
        <v>51810</v>
      </c>
      <c r="Q106" s="85">
        <v>51810</v>
      </c>
      <c r="R106" s="85">
        <v>46109</v>
      </c>
      <c r="S106" s="228"/>
      <c r="T106" s="85">
        <v>-37903</v>
      </c>
      <c r="U106" s="85">
        <v>-37903</v>
      </c>
      <c r="V106" s="85">
        <v>-37145</v>
      </c>
      <c r="W106" s="228"/>
      <c r="X106" s="243">
        <v>68781</v>
      </c>
      <c r="Y106" s="244">
        <v>67406</v>
      </c>
      <c r="Z106" s="62"/>
      <c r="AA106" s="141">
        <v>23161</v>
      </c>
      <c r="AD106" s="244">
        <f>VLOOKUP(A106,'Change in Proportion Calc'!$A$5:$H$311,8,FALSE)+SUMIF($C$5:$AB$5,2025,C106:AB106)</f>
        <v>81257</v>
      </c>
      <c r="AF106" s="243">
        <f t="shared" si="9"/>
        <v>217135</v>
      </c>
      <c r="AG106" s="243">
        <f t="shared" si="10"/>
        <v>180621</v>
      </c>
      <c r="AI106" s="243">
        <f>VLOOKUP(A106,'OPEB Amounts_Report'!$A$10:$G$324,7,FALSE)</f>
        <v>217135</v>
      </c>
      <c r="AJ106" s="244">
        <f t="shared" si="11"/>
        <v>0</v>
      </c>
      <c r="AK106" s="244"/>
      <c r="AL106" s="354">
        <f t="shared" si="12"/>
        <v>6016</v>
      </c>
      <c r="AM106" s="243">
        <f t="shared" si="13"/>
        <v>56721</v>
      </c>
      <c r="AN106" s="243">
        <f t="shared" si="14"/>
        <v>-9927</v>
      </c>
      <c r="AO106" s="243">
        <f t="shared" si="15"/>
        <v>21517</v>
      </c>
      <c r="AP106" s="243">
        <f t="shared" si="16"/>
        <v>-22672</v>
      </c>
      <c r="AQ106" s="243">
        <f t="shared" si="17"/>
        <v>-9125</v>
      </c>
    </row>
    <row r="107" spans="1:43" s="191" customFormat="1">
      <c r="A107" s="227">
        <v>7440</v>
      </c>
      <c r="B107" s="228" t="s">
        <v>447</v>
      </c>
      <c r="C107" s="85">
        <f>_xlfn.XLOOKUP($A107,'Change in Proportion Calc'!$A$5:$A$311,'Change in Proportion Calc'!L$5:L$311,,0,)</f>
        <v>75784</v>
      </c>
      <c r="D107" s="85">
        <f>_xlfn.XLOOKUP($A107,'Change in Proportion Calc'!$A$5:$A$311,'Change in Proportion Calc'!M$5:M$311,,0,)</f>
        <v>75784</v>
      </c>
      <c r="E107" s="85">
        <f>_xlfn.XLOOKUP($A107,'Change in Proportion Calc'!$A$5:$A$311,'Change in Proportion Calc'!N$5:N$311,,0,)</f>
        <v>75784</v>
      </c>
      <c r="F107" s="85">
        <f>_xlfn.XLOOKUP($A107,'Change in Proportion Calc'!$A$5:$A$311,'Change in Proportion Calc'!O$5:O$311,,0,)</f>
        <v>75784</v>
      </c>
      <c r="G107" s="85">
        <f>_xlfn.XLOOKUP($A107,'Change in Proportion Calc'!$A$5:$A$311,'Change in Proportion Calc'!P$5:P$311,,0,)</f>
        <v>70482</v>
      </c>
      <c r="H107" s="228"/>
      <c r="I107" s="85">
        <v>79847</v>
      </c>
      <c r="J107" s="85">
        <v>79847</v>
      </c>
      <c r="K107" s="85">
        <v>79847</v>
      </c>
      <c r="L107" s="85">
        <v>79847</v>
      </c>
      <c r="M107" s="85">
        <v>69467</v>
      </c>
      <c r="N107" s="85"/>
      <c r="O107" s="85">
        <v>85679</v>
      </c>
      <c r="P107" s="85">
        <v>85679</v>
      </c>
      <c r="Q107" s="85">
        <v>85679</v>
      </c>
      <c r="R107" s="85">
        <v>76252</v>
      </c>
      <c r="S107" s="228"/>
      <c r="T107" s="85">
        <v>0</v>
      </c>
      <c r="U107" s="85">
        <v>0</v>
      </c>
      <c r="V107" s="85">
        <v>0</v>
      </c>
      <c r="W107" s="228"/>
      <c r="X107" s="243">
        <v>0</v>
      </c>
      <c r="Y107" s="244">
        <v>0</v>
      </c>
      <c r="Z107" s="228"/>
      <c r="AA107" s="244">
        <v>0</v>
      </c>
      <c r="AD107" s="244">
        <f>VLOOKUP(A107,'Change in Proportion Calc'!$A$5:$H$311,8,FALSE)+SUMIF($C$5:$AB$5,2025,C107:AB107)</f>
        <v>241310</v>
      </c>
      <c r="AF107" s="243">
        <f t="shared" si="9"/>
        <v>930236</v>
      </c>
      <c r="AG107" s="243">
        <f t="shared" si="10"/>
        <v>0</v>
      </c>
      <c r="AI107" s="243">
        <f>VLOOKUP(A107,'OPEB Amounts_Report'!$A$10:$G$324,7,FALSE)</f>
        <v>930236</v>
      </c>
      <c r="AJ107" s="244">
        <f t="shared" si="11"/>
        <v>0</v>
      </c>
      <c r="AK107" s="244"/>
      <c r="AL107" s="354">
        <f t="shared" si="12"/>
        <v>7440</v>
      </c>
      <c r="AM107" s="243">
        <f t="shared" si="13"/>
        <v>241310</v>
      </c>
      <c r="AN107" s="243">
        <f t="shared" si="14"/>
        <v>241310</v>
      </c>
      <c r="AO107" s="243">
        <f t="shared" si="15"/>
        <v>231883</v>
      </c>
      <c r="AP107" s="243">
        <f t="shared" si="16"/>
        <v>145251</v>
      </c>
      <c r="AQ107" s="243">
        <f t="shared" si="17"/>
        <v>70482</v>
      </c>
    </row>
    <row r="108" spans="1:43">
      <c r="A108" s="59">
        <v>2432</v>
      </c>
      <c r="B108" s="63" t="s">
        <v>99</v>
      </c>
      <c r="C108" s="85">
        <f>_xlfn.XLOOKUP($A108,'Change in Proportion Calc'!$A$5:$A$311,'Change in Proportion Calc'!L$5:L$311,,0,)</f>
        <v>-7729</v>
      </c>
      <c r="D108" s="85">
        <f>_xlfn.XLOOKUP($A108,'Change in Proportion Calc'!$A$5:$A$311,'Change in Proportion Calc'!M$5:M$311,,0,)</f>
        <v>-7729</v>
      </c>
      <c r="E108" s="85">
        <f>_xlfn.XLOOKUP($A108,'Change in Proportion Calc'!$A$5:$A$311,'Change in Proportion Calc'!N$5:N$311,,0,)</f>
        <v>-7729</v>
      </c>
      <c r="F108" s="85">
        <f>_xlfn.XLOOKUP($A108,'Change in Proportion Calc'!$A$5:$A$311,'Change in Proportion Calc'!O$5:O$311,,0,)</f>
        <v>-7729</v>
      </c>
      <c r="G108" s="85">
        <f>_xlfn.XLOOKUP($A108,'Change in Proportion Calc'!$A$5:$A$311,'Change in Proportion Calc'!P$5:P$311,,0,)</f>
        <v>-7189</v>
      </c>
      <c r="H108" s="228"/>
      <c r="I108" s="85">
        <v>353222</v>
      </c>
      <c r="J108" s="85">
        <v>353222</v>
      </c>
      <c r="K108" s="85">
        <v>353222</v>
      </c>
      <c r="L108" s="85">
        <v>353222</v>
      </c>
      <c r="M108" s="85">
        <v>307301</v>
      </c>
      <c r="N108" s="85"/>
      <c r="O108" s="85">
        <v>306707</v>
      </c>
      <c r="P108" s="85">
        <v>306707</v>
      </c>
      <c r="Q108" s="85">
        <v>306707</v>
      </c>
      <c r="R108" s="85">
        <v>272968</v>
      </c>
      <c r="S108" s="228"/>
      <c r="T108" s="85">
        <v>147401</v>
      </c>
      <c r="U108" s="85">
        <v>147401</v>
      </c>
      <c r="V108" s="85">
        <v>144452</v>
      </c>
      <c r="W108" s="228"/>
      <c r="X108" s="243">
        <v>71958</v>
      </c>
      <c r="Y108" s="244">
        <v>70521</v>
      </c>
      <c r="Z108" s="62"/>
      <c r="AA108" s="141">
        <v>78238</v>
      </c>
      <c r="AD108" s="244">
        <f>VLOOKUP(A108,'Change in Proportion Calc'!$A$5:$H$311,8,FALSE)+SUMIF($C$5:$AB$5,2025,C108:AB108)</f>
        <v>949797</v>
      </c>
      <c r="AF108" s="243">
        <f t="shared" si="9"/>
        <v>2615723</v>
      </c>
      <c r="AG108" s="243">
        <f t="shared" si="10"/>
        <v>38105</v>
      </c>
      <c r="AI108" s="243">
        <f>VLOOKUP(A108,'OPEB Amounts_Report'!$A$10:$G$324,7,FALSE)</f>
        <v>2615723</v>
      </c>
      <c r="AJ108" s="244">
        <f t="shared" si="11"/>
        <v>0</v>
      </c>
      <c r="AK108" s="244"/>
      <c r="AL108" s="354">
        <f t="shared" si="12"/>
        <v>2432</v>
      </c>
      <c r="AM108" s="243">
        <f t="shared" si="13"/>
        <v>870122</v>
      </c>
      <c r="AN108" s="243">
        <f t="shared" si="14"/>
        <v>796652</v>
      </c>
      <c r="AO108" s="243">
        <f t="shared" si="15"/>
        <v>618461</v>
      </c>
      <c r="AP108" s="243">
        <f t="shared" si="16"/>
        <v>299572</v>
      </c>
      <c r="AQ108" s="243">
        <f t="shared" si="17"/>
        <v>-7189</v>
      </c>
    </row>
    <row r="109" spans="1:43" s="191" customFormat="1">
      <c r="A109" s="211">
        <v>29125</v>
      </c>
      <c r="B109" s="212" t="s">
        <v>483</v>
      </c>
      <c r="C109" s="85">
        <f>_xlfn.XLOOKUP($A109,'Change in Proportion Calc'!$A$5:$A$311,'Change in Proportion Calc'!L$5:L$311,,0,)</f>
        <v>140558</v>
      </c>
      <c r="D109" s="85">
        <f>_xlfn.XLOOKUP($A109,'Change in Proportion Calc'!$A$5:$A$311,'Change in Proportion Calc'!M$5:M$311,,0,)</f>
        <v>140558</v>
      </c>
      <c r="E109" s="85">
        <f>_xlfn.XLOOKUP($A109,'Change in Proportion Calc'!$A$5:$A$311,'Change in Proportion Calc'!N$5:N$311,,0,)</f>
        <v>140558</v>
      </c>
      <c r="F109" s="85">
        <f>_xlfn.XLOOKUP($A109,'Change in Proportion Calc'!$A$5:$A$311,'Change in Proportion Calc'!O$5:O$311,,0,)</f>
        <v>140558</v>
      </c>
      <c r="G109" s="85">
        <f>_xlfn.XLOOKUP($A109,'Change in Proportion Calc'!$A$5:$A$311,'Change in Proportion Calc'!P$5:P$311,,0,)</f>
        <v>130718</v>
      </c>
      <c r="H109" s="228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228"/>
      <c r="T109" s="85"/>
      <c r="U109" s="85"/>
      <c r="V109" s="85"/>
      <c r="W109" s="228"/>
      <c r="X109" s="243"/>
      <c r="Y109" s="244"/>
      <c r="Z109" s="228"/>
      <c r="AA109" s="244"/>
      <c r="AD109" s="244">
        <f>VLOOKUP(A109,'Change in Proportion Calc'!$A$5:$H$311,8,FALSE)+SUMIF($C$5:$AB$5,2025,C109:AB109)</f>
        <v>140558</v>
      </c>
      <c r="AF109" s="243">
        <f t="shared" si="9"/>
        <v>692950</v>
      </c>
      <c r="AG109" s="243">
        <f t="shared" si="10"/>
        <v>0</v>
      </c>
      <c r="AI109" s="243">
        <f>VLOOKUP(A109,'OPEB Amounts_Report'!$A$10:$G$324,7,FALSE)</f>
        <v>692950</v>
      </c>
      <c r="AJ109" s="244">
        <f t="shared" si="11"/>
        <v>0</v>
      </c>
      <c r="AK109" s="244"/>
      <c r="AL109" s="354">
        <f t="shared" si="12"/>
        <v>29125</v>
      </c>
      <c r="AM109" s="243">
        <f t="shared" si="13"/>
        <v>140558</v>
      </c>
      <c r="AN109" s="243">
        <f t="shared" si="14"/>
        <v>140558</v>
      </c>
      <c r="AO109" s="243">
        <f t="shared" si="15"/>
        <v>140558</v>
      </c>
      <c r="AP109" s="243">
        <f t="shared" si="16"/>
        <v>140558</v>
      </c>
      <c r="AQ109" s="243">
        <f t="shared" si="17"/>
        <v>130718</v>
      </c>
    </row>
    <row r="110" spans="1:43">
      <c r="A110" s="61">
        <v>16052</v>
      </c>
      <c r="B110" s="62" t="s">
        <v>100</v>
      </c>
      <c r="C110" s="85">
        <f>_xlfn.XLOOKUP($A110,'Change in Proportion Calc'!$A$5:$A$311,'Change in Proportion Calc'!L$5:L$311,,0,)</f>
        <v>-332649</v>
      </c>
      <c r="D110" s="85">
        <f>_xlfn.XLOOKUP($A110,'Change in Proportion Calc'!$A$5:$A$311,'Change in Proportion Calc'!M$5:M$311,,0,)</f>
        <v>-332649</v>
      </c>
      <c r="E110" s="85">
        <f>_xlfn.XLOOKUP($A110,'Change in Proportion Calc'!$A$5:$A$311,'Change in Proportion Calc'!N$5:N$311,,0,)</f>
        <v>-332649</v>
      </c>
      <c r="F110" s="85">
        <f>_xlfn.XLOOKUP($A110,'Change in Proportion Calc'!$A$5:$A$311,'Change in Proportion Calc'!O$5:O$311,,0,)</f>
        <v>-332649</v>
      </c>
      <c r="G110" s="85">
        <f>_xlfn.XLOOKUP($A110,'Change in Proportion Calc'!$A$5:$A$311,'Change in Proportion Calc'!P$5:P$311,,0,)</f>
        <v>-309364</v>
      </c>
      <c r="H110" s="228"/>
      <c r="I110" s="85">
        <v>264878</v>
      </c>
      <c r="J110" s="85">
        <v>264878</v>
      </c>
      <c r="K110" s="85">
        <v>264878</v>
      </c>
      <c r="L110" s="85">
        <v>264878</v>
      </c>
      <c r="M110" s="85">
        <v>230442</v>
      </c>
      <c r="N110" s="85"/>
      <c r="O110" s="85">
        <v>-65290</v>
      </c>
      <c r="P110" s="85">
        <v>-65290</v>
      </c>
      <c r="Q110" s="85">
        <v>-65290</v>
      </c>
      <c r="R110" s="85">
        <v>-58108</v>
      </c>
      <c r="S110" s="228"/>
      <c r="T110" s="85">
        <v>-200044</v>
      </c>
      <c r="U110" s="85">
        <v>-200044</v>
      </c>
      <c r="V110" s="85">
        <v>-196043</v>
      </c>
      <c r="W110" s="228"/>
      <c r="X110" s="243">
        <v>990156</v>
      </c>
      <c r="Y110" s="244">
        <v>970355</v>
      </c>
      <c r="Z110" s="62"/>
      <c r="AA110" s="141">
        <v>72895</v>
      </c>
      <c r="AD110" s="244">
        <f>VLOOKUP(A110,'Change in Proportion Calc'!$A$5:$H$311,8,FALSE)+SUMIF($C$5:$AB$5,2025,C110:AB110)</f>
        <v>729946</v>
      </c>
      <c r="AF110" s="243">
        <f t="shared" si="9"/>
        <v>1995431</v>
      </c>
      <c r="AG110" s="243">
        <f t="shared" si="10"/>
        <v>2224735</v>
      </c>
      <c r="AI110" s="243">
        <f>VLOOKUP(A110,'OPEB Amounts_Report'!$A$10:$G$324,7,FALSE)</f>
        <v>1995431</v>
      </c>
      <c r="AJ110" s="244">
        <f t="shared" si="11"/>
        <v>0</v>
      </c>
      <c r="AK110" s="244"/>
      <c r="AL110" s="354">
        <f t="shared" si="12"/>
        <v>16052</v>
      </c>
      <c r="AM110" s="243">
        <f t="shared" si="13"/>
        <v>637250</v>
      </c>
      <c r="AN110" s="243">
        <f t="shared" si="14"/>
        <v>-329104</v>
      </c>
      <c r="AO110" s="243">
        <f t="shared" si="15"/>
        <v>-125879</v>
      </c>
      <c r="AP110" s="243">
        <f t="shared" si="16"/>
        <v>-102207</v>
      </c>
      <c r="AQ110" s="243">
        <f t="shared" si="17"/>
        <v>-309364</v>
      </c>
    </row>
    <row r="111" spans="1:43">
      <c r="A111" s="59">
        <v>11118</v>
      </c>
      <c r="B111" s="63" t="s">
        <v>101</v>
      </c>
      <c r="C111" s="85">
        <f>_xlfn.XLOOKUP($A111,'Change in Proportion Calc'!$A$5:$A$311,'Change in Proportion Calc'!L$5:L$311,,0,)</f>
        <v>-2507</v>
      </c>
      <c r="D111" s="85">
        <f>_xlfn.XLOOKUP($A111,'Change in Proportion Calc'!$A$5:$A$311,'Change in Proportion Calc'!M$5:M$311,,0,)</f>
        <v>-2507</v>
      </c>
      <c r="E111" s="85">
        <f>_xlfn.XLOOKUP($A111,'Change in Proportion Calc'!$A$5:$A$311,'Change in Proportion Calc'!N$5:N$311,,0,)</f>
        <v>-2507</v>
      </c>
      <c r="F111" s="85">
        <f>_xlfn.XLOOKUP($A111,'Change in Proportion Calc'!$A$5:$A$311,'Change in Proportion Calc'!O$5:O$311,,0,)</f>
        <v>-2507</v>
      </c>
      <c r="G111" s="85">
        <f>_xlfn.XLOOKUP($A111,'Change in Proportion Calc'!$A$5:$A$311,'Change in Proportion Calc'!P$5:P$311,,0,)</f>
        <v>-2333</v>
      </c>
      <c r="H111" s="228"/>
      <c r="I111" s="85">
        <v>-157</v>
      </c>
      <c r="J111" s="85">
        <v>-157</v>
      </c>
      <c r="K111" s="85">
        <v>-157</v>
      </c>
      <c r="L111" s="85">
        <v>-157</v>
      </c>
      <c r="M111" s="85">
        <v>-138</v>
      </c>
      <c r="N111" s="85"/>
      <c r="O111" s="85">
        <v>9935</v>
      </c>
      <c r="P111" s="85">
        <v>9935</v>
      </c>
      <c r="Q111" s="85">
        <v>9935</v>
      </c>
      <c r="R111" s="85">
        <v>8844</v>
      </c>
      <c r="S111" s="228"/>
      <c r="T111" s="85">
        <v>-28832</v>
      </c>
      <c r="U111" s="85">
        <v>-28832</v>
      </c>
      <c r="V111" s="85">
        <v>-28257</v>
      </c>
      <c r="W111" s="228"/>
      <c r="X111" s="243">
        <v>-19921</v>
      </c>
      <c r="Y111" s="244">
        <v>-19525</v>
      </c>
      <c r="Z111" s="62"/>
      <c r="AA111" s="141">
        <v>4531</v>
      </c>
      <c r="AD111" s="244">
        <f>VLOOKUP(A111,'Change in Proportion Calc'!$A$5:$H$311,8,FALSE)+SUMIF($C$5:$AB$5,2025,C111:AB111)</f>
        <v>-36951</v>
      </c>
      <c r="AF111" s="243">
        <f t="shared" si="9"/>
        <v>28714</v>
      </c>
      <c r="AG111" s="243">
        <f t="shared" si="10"/>
        <v>89584</v>
      </c>
      <c r="AI111" s="243">
        <f>VLOOKUP(A111,'OPEB Amounts_Report'!$A$10:$G$324,7,FALSE)</f>
        <v>28714</v>
      </c>
      <c r="AJ111" s="244">
        <f t="shared" si="11"/>
        <v>0</v>
      </c>
      <c r="AK111" s="244"/>
      <c r="AL111" s="354">
        <f t="shared" si="12"/>
        <v>11118</v>
      </c>
      <c r="AM111" s="243">
        <f t="shared" si="13"/>
        <v>-41086</v>
      </c>
      <c r="AN111" s="243">
        <f t="shared" si="14"/>
        <v>-20986</v>
      </c>
      <c r="AO111" s="243">
        <f t="shared" si="15"/>
        <v>6180</v>
      </c>
      <c r="AP111" s="243">
        <f t="shared" si="16"/>
        <v>-2645</v>
      </c>
      <c r="AQ111" s="243">
        <f t="shared" si="17"/>
        <v>-2333</v>
      </c>
    </row>
    <row r="112" spans="1:43">
      <c r="A112" s="61">
        <v>27083</v>
      </c>
      <c r="B112" s="62" t="s">
        <v>102</v>
      </c>
      <c r="C112" s="85">
        <f>_xlfn.XLOOKUP($A112,'Change in Proportion Calc'!$A$5:$A$311,'Change in Proportion Calc'!L$5:L$311,,0,)</f>
        <v>-31620</v>
      </c>
      <c r="D112" s="85">
        <f>_xlfn.XLOOKUP($A112,'Change in Proportion Calc'!$A$5:$A$311,'Change in Proportion Calc'!M$5:M$311,,0,)</f>
        <v>-31620</v>
      </c>
      <c r="E112" s="85">
        <f>_xlfn.XLOOKUP($A112,'Change in Proportion Calc'!$A$5:$A$311,'Change in Proportion Calc'!N$5:N$311,,0,)</f>
        <v>-31620</v>
      </c>
      <c r="F112" s="85">
        <f>_xlfn.XLOOKUP($A112,'Change in Proportion Calc'!$A$5:$A$311,'Change in Proportion Calc'!O$5:O$311,,0,)</f>
        <v>-31620</v>
      </c>
      <c r="G112" s="85">
        <f>_xlfn.XLOOKUP($A112,'Change in Proportion Calc'!$A$5:$A$311,'Change in Proportion Calc'!P$5:P$311,,0,)</f>
        <v>-29406</v>
      </c>
      <c r="H112" s="228"/>
      <c r="I112" s="85">
        <v>-8798</v>
      </c>
      <c r="J112" s="85">
        <v>-8798</v>
      </c>
      <c r="K112" s="85">
        <v>-8798</v>
      </c>
      <c r="L112" s="85">
        <v>-8798</v>
      </c>
      <c r="M112" s="85">
        <v>-7656</v>
      </c>
      <c r="N112" s="85"/>
      <c r="O112" s="85">
        <v>1535</v>
      </c>
      <c r="P112" s="85">
        <v>1535</v>
      </c>
      <c r="Q112" s="85">
        <v>1535</v>
      </c>
      <c r="R112" s="85">
        <v>1368</v>
      </c>
      <c r="S112" s="228"/>
      <c r="T112" s="85">
        <v>-11824</v>
      </c>
      <c r="U112" s="85">
        <v>-11824</v>
      </c>
      <c r="V112" s="85">
        <v>-11590</v>
      </c>
      <c r="W112" s="228"/>
      <c r="X112" s="243">
        <v>30741</v>
      </c>
      <c r="Y112" s="244">
        <v>30127</v>
      </c>
      <c r="Z112" s="62"/>
      <c r="AA112" s="141">
        <v>-2047</v>
      </c>
      <c r="AD112" s="244">
        <f>VLOOKUP(A112,'Change in Proportion Calc'!$A$5:$H$311,8,FALSE)+SUMIF($C$5:$AB$5,2025,C112:AB112)</f>
        <v>-22013</v>
      </c>
      <c r="AF112" s="243">
        <f t="shared" si="9"/>
        <v>34565</v>
      </c>
      <c r="AG112" s="243">
        <f t="shared" si="10"/>
        <v>213350</v>
      </c>
      <c r="AI112" s="243">
        <f>VLOOKUP(A112,'OPEB Amounts_Report'!$A$10:$G$324,7,FALSE)</f>
        <v>34565</v>
      </c>
      <c r="AJ112" s="244">
        <f t="shared" si="11"/>
        <v>0</v>
      </c>
      <c r="AK112" s="244"/>
      <c r="AL112" s="354">
        <f t="shared" si="12"/>
        <v>27083</v>
      </c>
      <c r="AM112" s="243">
        <f t="shared" si="13"/>
        <v>-20580</v>
      </c>
      <c r="AN112" s="243">
        <f t="shared" si="14"/>
        <v>-50473</v>
      </c>
      <c r="AO112" s="243">
        <f t="shared" si="15"/>
        <v>-39050</v>
      </c>
      <c r="AP112" s="243">
        <f t="shared" si="16"/>
        <v>-39276</v>
      </c>
      <c r="AQ112" s="243">
        <f t="shared" si="17"/>
        <v>-29406</v>
      </c>
    </row>
    <row r="113" spans="1:43">
      <c r="A113" s="59">
        <v>7021</v>
      </c>
      <c r="B113" s="63" t="s">
        <v>103</v>
      </c>
      <c r="C113" s="85">
        <f>_xlfn.XLOOKUP($A113,'Change in Proportion Calc'!$A$5:$A$311,'Change in Proportion Calc'!L$5:L$311,,0,)</f>
        <v>-220605</v>
      </c>
      <c r="D113" s="85">
        <f>_xlfn.XLOOKUP($A113,'Change in Proportion Calc'!$A$5:$A$311,'Change in Proportion Calc'!M$5:M$311,,0,)</f>
        <v>-220605</v>
      </c>
      <c r="E113" s="85">
        <f>_xlfn.XLOOKUP($A113,'Change in Proportion Calc'!$A$5:$A$311,'Change in Proportion Calc'!N$5:N$311,,0,)</f>
        <v>-220605</v>
      </c>
      <c r="F113" s="85">
        <f>_xlfn.XLOOKUP($A113,'Change in Proportion Calc'!$A$5:$A$311,'Change in Proportion Calc'!O$5:O$311,,0,)</f>
        <v>-220605</v>
      </c>
      <c r="G113" s="85">
        <f>_xlfn.XLOOKUP($A113,'Change in Proportion Calc'!$A$5:$A$311,'Change in Proportion Calc'!P$5:P$311,,0,)</f>
        <v>-205163</v>
      </c>
      <c r="H113" s="228"/>
      <c r="I113" s="85">
        <v>-95698</v>
      </c>
      <c r="J113" s="85">
        <v>-95698</v>
      </c>
      <c r="K113" s="85">
        <v>-95698</v>
      </c>
      <c r="L113" s="85">
        <v>-95698</v>
      </c>
      <c r="M113" s="85">
        <v>-83255</v>
      </c>
      <c r="N113" s="85"/>
      <c r="O113" s="85">
        <v>-247750</v>
      </c>
      <c r="P113" s="85">
        <v>-247750</v>
      </c>
      <c r="Q113" s="85">
        <v>-247750</v>
      </c>
      <c r="R113" s="85">
        <v>-220497</v>
      </c>
      <c r="S113" s="228"/>
      <c r="T113" s="85">
        <v>278442</v>
      </c>
      <c r="U113" s="85">
        <v>278442</v>
      </c>
      <c r="V113" s="85">
        <v>272872</v>
      </c>
      <c r="W113" s="228"/>
      <c r="X113" s="243">
        <v>584597</v>
      </c>
      <c r="Y113" s="244">
        <v>572903</v>
      </c>
      <c r="Z113" s="62"/>
      <c r="AA113" s="141">
        <v>57373</v>
      </c>
      <c r="AD113" s="244">
        <f>VLOOKUP(A113,'Change in Proportion Calc'!$A$5:$H$311,8,FALSE)+SUMIF($C$5:$AB$5,2025,C113:AB113)</f>
        <v>356359</v>
      </c>
      <c r="AF113" s="243">
        <f t="shared" si="9"/>
        <v>1124217</v>
      </c>
      <c r="AG113" s="243">
        <f t="shared" si="10"/>
        <v>2173929</v>
      </c>
      <c r="AI113" s="243">
        <f>VLOOKUP(A113,'OPEB Amounts_Report'!$A$10:$G$324,7,FALSE)</f>
        <v>1124217</v>
      </c>
      <c r="AJ113" s="244">
        <f t="shared" si="11"/>
        <v>0</v>
      </c>
      <c r="AK113" s="244"/>
      <c r="AL113" s="354">
        <f t="shared" si="12"/>
        <v>7021</v>
      </c>
      <c r="AM113" s="243">
        <f t="shared" si="13"/>
        <v>287292</v>
      </c>
      <c r="AN113" s="243">
        <f t="shared" si="14"/>
        <v>-291181</v>
      </c>
      <c r="AO113" s="243">
        <f t="shared" si="15"/>
        <v>-536800</v>
      </c>
      <c r="AP113" s="243">
        <f t="shared" si="16"/>
        <v>-303860</v>
      </c>
      <c r="AQ113" s="243">
        <f t="shared" si="17"/>
        <v>-205163</v>
      </c>
    </row>
    <row r="114" spans="1:43">
      <c r="A114" s="61">
        <v>4140</v>
      </c>
      <c r="B114" s="62" t="s">
        <v>104</v>
      </c>
      <c r="C114" s="85">
        <f>_xlfn.XLOOKUP($A114,'Change in Proportion Calc'!$A$5:$A$311,'Change in Proportion Calc'!L$5:L$311,,0,)</f>
        <v>-4853</v>
      </c>
      <c r="D114" s="85">
        <f>_xlfn.XLOOKUP($A114,'Change in Proportion Calc'!$A$5:$A$311,'Change in Proportion Calc'!M$5:M$311,,0,)</f>
        <v>-4853</v>
      </c>
      <c r="E114" s="85">
        <f>_xlfn.XLOOKUP($A114,'Change in Proportion Calc'!$A$5:$A$311,'Change in Proportion Calc'!N$5:N$311,,0,)</f>
        <v>-4853</v>
      </c>
      <c r="F114" s="85">
        <f>_xlfn.XLOOKUP($A114,'Change in Proportion Calc'!$A$5:$A$311,'Change in Proportion Calc'!O$5:O$311,,0,)</f>
        <v>-4853</v>
      </c>
      <c r="G114" s="85">
        <f>_xlfn.XLOOKUP($A114,'Change in Proportion Calc'!$A$5:$A$311,'Change in Proportion Calc'!P$5:P$311,,0,)</f>
        <v>-4514</v>
      </c>
      <c r="H114" s="228"/>
      <c r="I114" s="85">
        <v>10952</v>
      </c>
      <c r="J114" s="85">
        <v>10952</v>
      </c>
      <c r="K114" s="85">
        <v>10952</v>
      </c>
      <c r="L114" s="85">
        <v>10952</v>
      </c>
      <c r="M114" s="85">
        <v>9530</v>
      </c>
      <c r="N114" s="85"/>
      <c r="O114" s="85">
        <v>-6762</v>
      </c>
      <c r="P114" s="85">
        <v>-6762</v>
      </c>
      <c r="Q114" s="85">
        <v>-6762</v>
      </c>
      <c r="R114" s="85">
        <v>-6016</v>
      </c>
      <c r="S114" s="228"/>
      <c r="T114" s="85">
        <v>4859</v>
      </c>
      <c r="U114" s="85">
        <v>4859</v>
      </c>
      <c r="V114" s="85">
        <v>4764</v>
      </c>
      <c r="W114" s="228"/>
      <c r="X114" s="243">
        <v>5582</v>
      </c>
      <c r="Y114" s="244">
        <v>5468</v>
      </c>
      <c r="Z114" s="62"/>
      <c r="AA114" s="141">
        <v>0</v>
      </c>
      <c r="AD114" s="244">
        <f>VLOOKUP(A114,'Change in Proportion Calc'!$A$5:$H$311,8,FALSE)+SUMIF($C$5:$AB$5,2025,C114:AB114)</f>
        <v>9778</v>
      </c>
      <c r="AF114" s="243">
        <f t="shared" si="9"/>
        <v>57477</v>
      </c>
      <c r="AG114" s="243">
        <f t="shared" si="10"/>
        <v>43466</v>
      </c>
      <c r="AI114" s="243">
        <f>VLOOKUP(A114,'OPEB Amounts_Report'!$A$10:$G$324,7,FALSE)</f>
        <v>57477</v>
      </c>
      <c r="AJ114" s="244">
        <f t="shared" si="11"/>
        <v>0</v>
      </c>
      <c r="AK114" s="244"/>
      <c r="AL114" s="354">
        <f t="shared" si="12"/>
        <v>4140</v>
      </c>
      <c r="AM114" s="243">
        <f t="shared" si="13"/>
        <v>9664</v>
      </c>
      <c r="AN114" s="243">
        <f t="shared" si="14"/>
        <v>4101</v>
      </c>
      <c r="AO114" s="243">
        <f t="shared" si="15"/>
        <v>83</v>
      </c>
      <c r="AP114" s="243">
        <f t="shared" si="16"/>
        <v>4677</v>
      </c>
      <c r="AQ114" s="243">
        <f t="shared" si="17"/>
        <v>-4514</v>
      </c>
    </row>
    <row r="115" spans="1:43">
      <c r="A115" s="59">
        <v>13041</v>
      </c>
      <c r="B115" s="63" t="s">
        <v>105</v>
      </c>
      <c r="C115" s="85">
        <f>_xlfn.XLOOKUP($A115,'Change in Proportion Calc'!$A$5:$A$311,'Change in Proportion Calc'!L$5:L$311,,0,)</f>
        <v>-134723</v>
      </c>
      <c r="D115" s="85">
        <f>_xlfn.XLOOKUP($A115,'Change in Proportion Calc'!$A$5:$A$311,'Change in Proportion Calc'!M$5:M$311,,0,)</f>
        <v>-134723</v>
      </c>
      <c r="E115" s="85">
        <f>_xlfn.XLOOKUP($A115,'Change in Proportion Calc'!$A$5:$A$311,'Change in Proportion Calc'!N$5:N$311,,0,)</f>
        <v>-134723</v>
      </c>
      <c r="F115" s="85">
        <f>_xlfn.XLOOKUP($A115,'Change in Proportion Calc'!$A$5:$A$311,'Change in Proportion Calc'!O$5:O$311,,0,)</f>
        <v>-134723</v>
      </c>
      <c r="G115" s="85">
        <f>_xlfn.XLOOKUP($A115,'Change in Proportion Calc'!$A$5:$A$311,'Change in Proportion Calc'!P$5:P$311,,0,)</f>
        <v>-125292</v>
      </c>
      <c r="H115" s="228"/>
      <c r="I115" s="85">
        <v>335714</v>
      </c>
      <c r="J115" s="85">
        <v>335714</v>
      </c>
      <c r="K115" s="85">
        <v>335714</v>
      </c>
      <c r="L115" s="85">
        <v>335714</v>
      </c>
      <c r="M115" s="85">
        <v>292073</v>
      </c>
      <c r="N115" s="85"/>
      <c r="O115" s="85">
        <v>-341528</v>
      </c>
      <c r="P115" s="85">
        <v>-341528</v>
      </c>
      <c r="Q115" s="85">
        <v>-341528</v>
      </c>
      <c r="R115" s="85">
        <v>-303962</v>
      </c>
      <c r="S115" s="228"/>
      <c r="T115" s="85">
        <v>-563767</v>
      </c>
      <c r="U115" s="85">
        <v>-563767</v>
      </c>
      <c r="V115" s="85">
        <v>-552494</v>
      </c>
      <c r="W115" s="228"/>
      <c r="X115" s="243">
        <v>-143916</v>
      </c>
      <c r="Y115" s="244">
        <v>-141040</v>
      </c>
      <c r="Z115" s="62"/>
      <c r="AA115" s="141">
        <v>238498</v>
      </c>
      <c r="AD115" s="244">
        <f>VLOOKUP(A115,'Change in Proportion Calc'!$A$5:$H$311,8,FALSE)+SUMIF($C$5:$AB$5,2025,C115:AB115)</f>
        <v>-609722</v>
      </c>
      <c r="AF115" s="243">
        <f t="shared" si="9"/>
        <v>1299215</v>
      </c>
      <c r="AG115" s="243">
        <f t="shared" si="10"/>
        <v>2908503</v>
      </c>
      <c r="AI115" s="243">
        <f>VLOOKUP(A115,'OPEB Amounts_Report'!$A$10:$G$324,7,FALSE)</f>
        <v>1299215</v>
      </c>
      <c r="AJ115" s="244">
        <f t="shared" si="11"/>
        <v>0</v>
      </c>
      <c r="AK115" s="244"/>
      <c r="AL115" s="354">
        <f t="shared" si="12"/>
        <v>13041</v>
      </c>
      <c r="AM115" s="243">
        <f t="shared" si="13"/>
        <v>-845344</v>
      </c>
      <c r="AN115" s="243">
        <f t="shared" si="14"/>
        <v>-693031</v>
      </c>
      <c r="AO115" s="243">
        <f t="shared" si="15"/>
        <v>-102971</v>
      </c>
      <c r="AP115" s="243">
        <f t="shared" si="16"/>
        <v>157350</v>
      </c>
      <c r="AQ115" s="243">
        <f t="shared" si="17"/>
        <v>-125292</v>
      </c>
    </row>
    <row r="116" spans="1:43">
      <c r="A116" s="61">
        <v>2339</v>
      </c>
      <c r="B116" s="62" t="s">
        <v>106</v>
      </c>
      <c r="C116" s="85">
        <f>_xlfn.XLOOKUP($A116,'Change in Proportion Calc'!$A$5:$A$311,'Change in Proportion Calc'!L$5:L$311,,0,)</f>
        <v>-10960</v>
      </c>
      <c r="D116" s="85">
        <f>_xlfn.XLOOKUP($A116,'Change in Proportion Calc'!$A$5:$A$311,'Change in Proportion Calc'!M$5:M$311,,0,)</f>
        <v>-10960</v>
      </c>
      <c r="E116" s="85">
        <f>_xlfn.XLOOKUP($A116,'Change in Proportion Calc'!$A$5:$A$311,'Change in Proportion Calc'!N$5:N$311,,0,)</f>
        <v>-10960</v>
      </c>
      <c r="F116" s="85">
        <f>_xlfn.XLOOKUP($A116,'Change in Proportion Calc'!$A$5:$A$311,'Change in Proportion Calc'!O$5:O$311,,0,)</f>
        <v>-10960</v>
      </c>
      <c r="G116" s="85">
        <f>_xlfn.XLOOKUP($A116,'Change in Proportion Calc'!$A$5:$A$311,'Change in Proportion Calc'!P$5:P$311,,0,)</f>
        <v>-10192</v>
      </c>
      <c r="H116" s="228"/>
      <c r="I116" s="85">
        <v>29721</v>
      </c>
      <c r="J116" s="85">
        <v>29721</v>
      </c>
      <c r="K116" s="85">
        <v>29721</v>
      </c>
      <c r="L116" s="85">
        <v>29721</v>
      </c>
      <c r="M116" s="85">
        <v>25855</v>
      </c>
      <c r="N116" s="85"/>
      <c r="O116" s="85">
        <v>-21633</v>
      </c>
      <c r="P116" s="85">
        <v>-21633</v>
      </c>
      <c r="Q116" s="85">
        <v>-21633</v>
      </c>
      <c r="R116" s="85">
        <v>-19253</v>
      </c>
      <c r="S116" s="228"/>
      <c r="T116" s="85">
        <v>7775</v>
      </c>
      <c r="U116" s="85">
        <v>7775</v>
      </c>
      <c r="V116" s="85">
        <v>7619</v>
      </c>
      <c r="W116" s="228"/>
      <c r="X116" s="243">
        <v>-773</v>
      </c>
      <c r="Y116" s="244">
        <v>-756</v>
      </c>
      <c r="Z116" s="62"/>
      <c r="AA116" s="141">
        <v>-11858</v>
      </c>
      <c r="AD116" s="244">
        <f>VLOOKUP(A116,'Change in Proportion Calc'!$A$5:$H$311,8,FALSE)+SUMIF($C$5:$AB$5,2025,C116:AB116)</f>
        <v>-7728</v>
      </c>
      <c r="AF116" s="243">
        <f t="shared" si="9"/>
        <v>130412</v>
      </c>
      <c r="AG116" s="243">
        <f t="shared" si="10"/>
        <v>117307</v>
      </c>
      <c r="AI116" s="243">
        <f>VLOOKUP(A116,'OPEB Amounts_Report'!$A$10:$G$324,7,FALSE)</f>
        <v>130412</v>
      </c>
      <c r="AJ116" s="244">
        <f t="shared" si="11"/>
        <v>0</v>
      </c>
      <c r="AK116" s="244"/>
      <c r="AL116" s="354">
        <f t="shared" si="12"/>
        <v>2339</v>
      </c>
      <c r="AM116" s="243">
        <f t="shared" si="13"/>
        <v>4147</v>
      </c>
      <c r="AN116" s="243">
        <f t="shared" si="14"/>
        <v>4747</v>
      </c>
      <c r="AO116" s="243">
        <f t="shared" si="15"/>
        <v>-492</v>
      </c>
      <c r="AP116" s="243">
        <f t="shared" si="16"/>
        <v>14895</v>
      </c>
      <c r="AQ116" s="243">
        <f t="shared" si="17"/>
        <v>-10192</v>
      </c>
    </row>
    <row r="117" spans="1:43">
      <c r="A117" s="59">
        <v>2362</v>
      </c>
      <c r="B117" s="63" t="s">
        <v>107</v>
      </c>
      <c r="C117" s="85">
        <f>_xlfn.XLOOKUP($A117,'Change in Proportion Calc'!$A$5:$A$311,'Change in Proportion Calc'!L$5:L$311,,0,)</f>
        <v>4355</v>
      </c>
      <c r="D117" s="85">
        <f>_xlfn.XLOOKUP($A117,'Change in Proportion Calc'!$A$5:$A$311,'Change in Proportion Calc'!M$5:M$311,,0,)</f>
        <v>4355</v>
      </c>
      <c r="E117" s="85">
        <f>_xlfn.XLOOKUP($A117,'Change in Proportion Calc'!$A$5:$A$311,'Change in Proportion Calc'!N$5:N$311,,0,)</f>
        <v>4355</v>
      </c>
      <c r="F117" s="85">
        <f>_xlfn.XLOOKUP($A117,'Change in Proportion Calc'!$A$5:$A$311,'Change in Proportion Calc'!O$5:O$311,,0,)</f>
        <v>4355</v>
      </c>
      <c r="G117" s="85">
        <f>_xlfn.XLOOKUP($A117,'Change in Proportion Calc'!$A$5:$A$311,'Change in Proportion Calc'!P$5:P$311,,0,)</f>
        <v>4053</v>
      </c>
      <c r="H117" s="228"/>
      <c r="I117" s="85">
        <v>-46574</v>
      </c>
      <c r="J117" s="85">
        <v>-46574</v>
      </c>
      <c r="K117" s="85">
        <v>-46574</v>
      </c>
      <c r="L117" s="85">
        <v>-46574</v>
      </c>
      <c r="M117" s="85">
        <v>-40517</v>
      </c>
      <c r="N117" s="85"/>
      <c r="O117" s="85">
        <v>15416</v>
      </c>
      <c r="P117" s="85">
        <v>15416</v>
      </c>
      <c r="Q117" s="85">
        <v>15416</v>
      </c>
      <c r="R117" s="85">
        <v>13718</v>
      </c>
      <c r="S117" s="228"/>
      <c r="T117" s="85">
        <v>-101723</v>
      </c>
      <c r="U117" s="85">
        <v>-101723</v>
      </c>
      <c r="V117" s="85">
        <v>-99687</v>
      </c>
      <c r="W117" s="228"/>
      <c r="X117" s="243">
        <v>-14254</v>
      </c>
      <c r="Y117" s="244">
        <v>-13971</v>
      </c>
      <c r="Z117" s="62"/>
      <c r="AA117" s="141">
        <v>5152</v>
      </c>
      <c r="AD117" s="244">
        <f>VLOOKUP(A117,'Change in Proportion Calc'!$A$5:$H$311,8,FALSE)+SUMIF($C$5:$AB$5,2025,C117:AB117)</f>
        <v>-137628</v>
      </c>
      <c r="AF117" s="243">
        <f t="shared" si="9"/>
        <v>66023</v>
      </c>
      <c r="AG117" s="243">
        <f t="shared" si="10"/>
        <v>395620</v>
      </c>
      <c r="AI117" s="243">
        <f>VLOOKUP(A117,'OPEB Amounts_Report'!$A$10:$G$324,7,FALSE)</f>
        <v>66023</v>
      </c>
      <c r="AJ117" s="244">
        <f t="shared" si="11"/>
        <v>0</v>
      </c>
      <c r="AK117" s="244"/>
      <c r="AL117" s="354">
        <f t="shared" si="12"/>
        <v>2362</v>
      </c>
      <c r="AM117" s="243">
        <f t="shared" si="13"/>
        <v>-142497</v>
      </c>
      <c r="AN117" s="243">
        <f t="shared" si="14"/>
        <v>-126490</v>
      </c>
      <c r="AO117" s="243">
        <f t="shared" si="15"/>
        <v>-28501</v>
      </c>
      <c r="AP117" s="243">
        <f t="shared" si="16"/>
        <v>-36162</v>
      </c>
      <c r="AQ117" s="243">
        <f t="shared" si="17"/>
        <v>4053</v>
      </c>
    </row>
    <row r="118" spans="1:43">
      <c r="A118" s="61">
        <v>5013</v>
      </c>
      <c r="B118" s="62" t="s">
        <v>108</v>
      </c>
      <c r="C118" s="85">
        <f>_xlfn.XLOOKUP($A118,'Change in Proportion Calc'!$A$5:$A$311,'Change in Proportion Calc'!L$5:L$311,,0,)</f>
        <v>-9541</v>
      </c>
      <c r="D118" s="85">
        <f>_xlfn.XLOOKUP($A118,'Change in Proportion Calc'!$A$5:$A$311,'Change in Proportion Calc'!M$5:M$311,,0,)</f>
        <v>-9541</v>
      </c>
      <c r="E118" s="85">
        <f>_xlfn.XLOOKUP($A118,'Change in Proportion Calc'!$A$5:$A$311,'Change in Proportion Calc'!N$5:N$311,,0,)</f>
        <v>-9541</v>
      </c>
      <c r="F118" s="85">
        <f>_xlfn.XLOOKUP($A118,'Change in Proportion Calc'!$A$5:$A$311,'Change in Proportion Calc'!O$5:O$311,,0,)</f>
        <v>-9541</v>
      </c>
      <c r="G118" s="85">
        <f>_xlfn.XLOOKUP($A118,'Change in Proportion Calc'!$A$5:$A$311,'Change in Proportion Calc'!P$5:P$311,,0,)</f>
        <v>-8874</v>
      </c>
      <c r="H118" s="228"/>
      <c r="I118" s="85">
        <v>7641</v>
      </c>
      <c r="J118" s="85">
        <v>7641</v>
      </c>
      <c r="K118" s="85">
        <v>7641</v>
      </c>
      <c r="L118" s="85">
        <v>7641</v>
      </c>
      <c r="M118" s="85">
        <v>6646</v>
      </c>
      <c r="N118" s="85"/>
      <c r="O118" s="85">
        <v>-3192</v>
      </c>
      <c r="P118" s="85">
        <v>-3192</v>
      </c>
      <c r="Q118" s="85">
        <v>-3192</v>
      </c>
      <c r="R118" s="85">
        <v>-2840</v>
      </c>
      <c r="S118" s="228"/>
      <c r="T118" s="85">
        <v>7370</v>
      </c>
      <c r="U118" s="85">
        <v>7370</v>
      </c>
      <c r="V118" s="85">
        <v>7223</v>
      </c>
      <c r="W118" s="228"/>
      <c r="X118" s="243">
        <v>2662</v>
      </c>
      <c r="Y118" s="244">
        <v>2608</v>
      </c>
      <c r="Z118" s="62"/>
      <c r="AA118" s="141">
        <v>-1302</v>
      </c>
      <c r="AD118" s="244">
        <f>VLOOKUP(A118,'Change in Proportion Calc'!$A$5:$H$311,8,FALSE)+SUMIF($C$5:$AB$5,2025,C118:AB118)</f>
        <v>3638</v>
      </c>
      <c r="AF118" s="243">
        <f t="shared" si="9"/>
        <v>46770</v>
      </c>
      <c r="AG118" s="243">
        <f t="shared" si="10"/>
        <v>56262</v>
      </c>
      <c r="AI118" s="243">
        <f>VLOOKUP(A118,'OPEB Amounts_Report'!$A$10:$G$324,7,FALSE)</f>
        <v>46770</v>
      </c>
      <c r="AJ118" s="244">
        <f t="shared" si="11"/>
        <v>0</v>
      </c>
      <c r="AK118" s="244"/>
      <c r="AL118" s="354">
        <f t="shared" si="12"/>
        <v>5013</v>
      </c>
      <c r="AM118" s="243">
        <f t="shared" si="13"/>
        <v>4886</v>
      </c>
      <c r="AN118" s="243">
        <f t="shared" si="14"/>
        <v>2131</v>
      </c>
      <c r="AO118" s="243">
        <f t="shared" si="15"/>
        <v>-4740</v>
      </c>
      <c r="AP118" s="243">
        <f t="shared" si="16"/>
        <v>-2895</v>
      </c>
      <c r="AQ118" s="243">
        <f t="shared" si="17"/>
        <v>-8874</v>
      </c>
    </row>
    <row r="119" spans="1:43">
      <c r="A119" s="59">
        <v>3110</v>
      </c>
      <c r="B119" s="63" t="s">
        <v>109</v>
      </c>
      <c r="C119" s="85">
        <f>_xlfn.XLOOKUP($A119,'Change in Proportion Calc'!$A$5:$A$311,'Change in Proportion Calc'!L$5:L$311,,0,)</f>
        <v>14038</v>
      </c>
      <c r="D119" s="85">
        <f>_xlfn.XLOOKUP($A119,'Change in Proportion Calc'!$A$5:$A$311,'Change in Proportion Calc'!M$5:M$311,,0,)</f>
        <v>14038</v>
      </c>
      <c r="E119" s="85">
        <f>_xlfn.XLOOKUP($A119,'Change in Proportion Calc'!$A$5:$A$311,'Change in Proportion Calc'!N$5:N$311,,0,)</f>
        <v>14038</v>
      </c>
      <c r="F119" s="85">
        <f>_xlfn.XLOOKUP($A119,'Change in Proportion Calc'!$A$5:$A$311,'Change in Proportion Calc'!O$5:O$311,,0,)</f>
        <v>14038</v>
      </c>
      <c r="G119" s="85">
        <f>_xlfn.XLOOKUP($A119,'Change in Proportion Calc'!$A$5:$A$311,'Change in Proportion Calc'!P$5:P$311,,0,)</f>
        <v>13057</v>
      </c>
      <c r="H119" s="228"/>
      <c r="I119" s="85">
        <v>-119275</v>
      </c>
      <c r="J119" s="85">
        <v>-119275</v>
      </c>
      <c r="K119" s="85">
        <v>-119275</v>
      </c>
      <c r="L119" s="85">
        <v>-119275</v>
      </c>
      <c r="M119" s="85">
        <v>-103767</v>
      </c>
      <c r="N119" s="85"/>
      <c r="O119" s="85">
        <v>-54268</v>
      </c>
      <c r="P119" s="85">
        <v>-54268</v>
      </c>
      <c r="Q119" s="85">
        <v>-54268</v>
      </c>
      <c r="R119" s="85">
        <v>-48300</v>
      </c>
      <c r="S119" s="228"/>
      <c r="T119" s="85">
        <v>3483</v>
      </c>
      <c r="U119" s="85">
        <v>3483</v>
      </c>
      <c r="V119" s="85">
        <v>3411</v>
      </c>
      <c r="W119" s="228"/>
      <c r="X119" s="243">
        <v>-60022</v>
      </c>
      <c r="Y119" s="244">
        <v>-58824</v>
      </c>
      <c r="Z119" s="62"/>
      <c r="AA119" s="141">
        <v>-35455</v>
      </c>
      <c r="AD119" s="244">
        <f>VLOOKUP(A119,'Change in Proportion Calc'!$A$5:$H$311,8,FALSE)+SUMIF($C$5:$AB$5,2025,C119:AB119)</f>
        <v>-251499</v>
      </c>
      <c r="AF119" s="243">
        <f t="shared" si="9"/>
        <v>76103</v>
      </c>
      <c r="AG119" s="243">
        <f t="shared" si="10"/>
        <v>677252</v>
      </c>
      <c r="AI119" s="243">
        <f>VLOOKUP(A119,'OPEB Amounts_Report'!$A$10:$G$324,7,FALSE)</f>
        <v>76103</v>
      </c>
      <c r="AJ119" s="244">
        <f t="shared" si="11"/>
        <v>0</v>
      </c>
      <c r="AK119" s="244"/>
      <c r="AL119" s="354">
        <f t="shared" si="12"/>
        <v>3110</v>
      </c>
      <c r="AM119" s="243">
        <f t="shared" si="13"/>
        <v>-214846</v>
      </c>
      <c r="AN119" s="243">
        <f t="shared" si="14"/>
        <v>-156094</v>
      </c>
      <c r="AO119" s="243">
        <f t="shared" si="15"/>
        <v>-153537</v>
      </c>
      <c r="AP119" s="243">
        <f t="shared" si="16"/>
        <v>-89729</v>
      </c>
      <c r="AQ119" s="243">
        <f t="shared" si="17"/>
        <v>13057</v>
      </c>
    </row>
    <row r="120" spans="1:43">
      <c r="A120" s="61">
        <v>14044</v>
      </c>
      <c r="B120" s="62" t="s">
        <v>110</v>
      </c>
      <c r="C120" s="85">
        <f>_xlfn.XLOOKUP($A120,'Change in Proportion Calc'!$A$5:$A$311,'Change in Proportion Calc'!L$5:L$311,,0,)</f>
        <v>21645</v>
      </c>
      <c r="D120" s="85">
        <f>_xlfn.XLOOKUP($A120,'Change in Proportion Calc'!$A$5:$A$311,'Change in Proportion Calc'!M$5:M$311,,0,)</f>
        <v>21645</v>
      </c>
      <c r="E120" s="85">
        <f>_xlfn.XLOOKUP($A120,'Change in Proportion Calc'!$A$5:$A$311,'Change in Proportion Calc'!N$5:N$311,,0,)</f>
        <v>21645</v>
      </c>
      <c r="F120" s="85">
        <f>_xlfn.XLOOKUP($A120,'Change in Proportion Calc'!$A$5:$A$311,'Change in Proportion Calc'!O$5:O$311,,0,)</f>
        <v>21645</v>
      </c>
      <c r="G120" s="85">
        <f>_xlfn.XLOOKUP($A120,'Change in Proportion Calc'!$A$5:$A$311,'Change in Proportion Calc'!P$5:P$311,,0,)</f>
        <v>20132</v>
      </c>
      <c r="H120" s="228"/>
      <c r="I120" s="85">
        <v>225724</v>
      </c>
      <c r="J120" s="85">
        <v>225724</v>
      </c>
      <c r="K120" s="85">
        <v>225724</v>
      </c>
      <c r="L120" s="85">
        <v>225724</v>
      </c>
      <c r="M120" s="85">
        <v>196382</v>
      </c>
      <c r="N120" s="85"/>
      <c r="O120" s="85">
        <v>-179449</v>
      </c>
      <c r="P120" s="85">
        <v>-179449</v>
      </c>
      <c r="Q120" s="85">
        <v>-179449</v>
      </c>
      <c r="R120" s="85">
        <v>-159708</v>
      </c>
      <c r="S120" s="228"/>
      <c r="T120" s="85">
        <v>-69570</v>
      </c>
      <c r="U120" s="85">
        <v>-69570</v>
      </c>
      <c r="V120" s="85">
        <v>-68178</v>
      </c>
      <c r="W120" s="228"/>
      <c r="X120" s="243">
        <v>164697</v>
      </c>
      <c r="Y120" s="244">
        <v>161402</v>
      </c>
      <c r="Z120" s="62"/>
      <c r="AA120" s="141">
        <v>-37689</v>
      </c>
      <c r="AD120" s="244">
        <f>VLOOKUP(A120,'Change in Proportion Calc'!$A$5:$H$311,8,FALSE)+SUMIF($C$5:$AB$5,2025,C120:AB120)</f>
        <v>125358</v>
      </c>
      <c r="AF120" s="243">
        <f t="shared" si="9"/>
        <v>1141668</v>
      </c>
      <c r="AG120" s="243">
        <f t="shared" si="10"/>
        <v>656354</v>
      </c>
      <c r="AI120" s="243">
        <f>VLOOKUP(A120,'OPEB Amounts_Report'!$A$10:$G$324,7,FALSE)</f>
        <v>1141668</v>
      </c>
      <c r="AJ120" s="244">
        <f t="shared" si="11"/>
        <v>0</v>
      </c>
      <c r="AK120" s="244"/>
      <c r="AL120" s="354">
        <f t="shared" si="12"/>
        <v>14044</v>
      </c>
      <c r="AM120" s="243">
        <f t="shared" si="13"/>
        <v>159752</v>
      </c>
      <c r="AN120" s="243">
        <f t="shared" si="14"/>
        <v>-258</v>
      </c>
      <c r="AO120" s="243">
        <f t="shared" si="15"/>
        <v>87661</v>
      </c>
      <c r="AP120" s="243">
        <f t="shared" si="16"/>
        <v>218027</v>
      </c>
      <c r="AQ120" s="243">
        <f t="shared" si="17"/>
        <v>20132</v>
      </c>
    </row>
    <row r="121" spans="1:43">
      <c r="A121" s="59">
        <v>4009</v>
      </c>
      <c r="B121" s="63" t="s">
        <v>111</v>
      </c>
      <c r="C121" s="85">
        <f>_xlfn.XLOOKUP($A121,'Change in Proportion Calc'!$A$5:$A$311,'Change in Proportion Calc'!L$5:L$311,,0,)</f>
        <v>41632</v>
      </c>
      <c r="D121" s="85">
        <f>_xlfn.XLOOKUP($A121,'Change in Proportion Calc'!$A$5:$A$311,'Change in Proportion Calc'!M$5:M$311,,0,)</f>
        <v>41632</v>
      </c>
      <c r="E121" s="85">
        <f>_xlfn.XLOOKUP($A121,'Change in Proportion Calc'!$A$5:$A$311,'Change in Proportion Calc'!N$5:N$311,,0,)</f>
        <v>41632</v>
      </c>
      <c r="F121" s="85">
        <f>_xlfn.XLOOKUP($A121,'Change in Proportion Calc'!$A$5:$A$311,'Change in Proportion Calc'!O$5:O$311,,0,)</f>
        <v>41632</v>
      </c>
      <c r="G121" s="85">
        <f>_xlfn.XLOOKUP($A121,'Change in Proportion Calc'!$A$5:$A$311,'Change in Proportion Calc'!P$5:P$311,,0,)</f>
        <v>38720</v>
      </c>
      <c r="H121" s="228"/>
      <c r="I121" s="85">
        <v>-10131</v>
      </c>
      <c r="J121" s="85">
        <v>-10131</v>
      </c>
      <c r="K121" s="85">
        <v>-10131</v>
      </c>
      <c r="L121" s="85">
        <v>-10131</v>
      </c>
      <c r="M121" s="85">
        <v>-8812</v>
      </c>
      <c r="N121" s="85"/>
      <c r="O121" s="85">
        <v>-37702</v>
      </c>
      <c r="P121" s="85">
        <v>-37702</v>
      </c>
      <c r="Q121" s="85">
        <v>-37702</v>
      </c>
      <c r="R121" s="85">
        <v>-33557</v>
      </c>
      <c r="S121" s="228"/>
      <c r="T121" s="85">
        <v>-17818</v>
      </c>
      <c r="U121" s="85">
        <v>-17818</v>
      </c>
      <c r="V121" s="85">
        <v>-17460</v>
      </c>
      <c r="W121" s="228"/>
      <c r="X121" s="243">
        <v>-22240</v>
      </c>
      <c r="Y121" s="244">
        <v>-21796</v>
      </c>
      <c r="Z121" s="62"/>
      <c r="AA121" s="141">
        <v>-26017</v>
      </c>
      <c r="AD121" s="244">
        <f>VLOOKUP(A121,'Change in Proportion Calc'!$A$5:$H$311,8,FALSE)+SUMIF($C$5:$AB$5,2025,C121:AB121)</f>
        <v>-72276</v>
      </c>
      <c r="AF121" s="243">
        <f t="shared" si="9"/>
        <v>205248</v>
      </c>
      <c r="AG121" s="243">
        <f t="shared" si="10"/>
        <v>205240</v>
      </c>
      <c r="AI121" s="243">
        <f>VLOOKUP(A121,'OPEB Amounts_Report'!$A$10:$G$324,7,FALSE)</f>
        <v>205248</v>
      </c>
      <c r="AJ121" s="244">
        <f t="shared" si="11"/>
        <v>0</v>
      </c>
      <c r="AK121" s="244"/>
      <c r="AL121" s="354">
        <f t="shared" si="12"/>
        <v>4009</v>
      </c>
      <c r="AM121" s="243">
        <f t="shared" si="13"/>
        <v>-45815</v>
      </c>
      <c r="AN121" s="243">
        <f t="shared" si="14"/>
        <v>-23661</v>
      </c>
      <c r="AO121" s="243">
        <f t="shared" si="15"/>
        <v>-2056</v>
      </c>
      <c r="AP121" s="243">
        <f t="shared" si="16"/>
        <v>32820</v>
      </c>
      <c r="AQ121" s="243">
        <f t="shared" si="17"/>
        <v>38720</v>
      </c>
    </row>
    <row r="122" spans="1:43">
      <c r="A122" s="61">
        <v>7022</v>
      </c>
      <c r="B122" s="62" t="s">
        <v>112</v>
      </c>
      <c r="C122" s="85">
        <f>_xlfn.XLOOKUP($A122,'Change in Proportion Calc'!$A$5:$A$311,'Change in Proportion Calc'!L$5:L$311,,0,)</f>
        <v>-66956</v>
      </c>
      <c r="D122" s="85">
        <f>_xlfn.XLOOKUP($A122,'Change in Proportion Calc'!$A$5:$A$311,'Change in Proportion Calc'!M$5:M$311,,0,)</f>
        <v>-66956</v>
      </c>
      <c r="E122" s="85">
        <f>_xlfn.XLOOKUP($A122,'Change in Proportion Calc'!$A$5:$A$311,'Change in Proportion Calc'!N$5:N$311,,0,)</f>
        <v>-66956</v>
      </c>
      <c r="F122" s="85">
        <f>_xlfn.XLOOKUP($A122,'Change in Proportion Calc'!$A$5:$A$311,'Change in Proportion Calc'!O$5:O$311,,0,)</f>
        <v>-66956</v>
      </c>
      <c r="G122" s="85">
        <f>_xlfn.XLOOKUP($A122,'Change in Proportion Calc'!$A$5:$A$311,'Change in Proportion Calc'!P$5:P$311,,0,)</f>
        <v>-62268</v>
      </c>
      <c r="H122" s="228"/>
      <c r="I122" s="85">
        <v>87841</v>
      </c>
      <c r="J122" s="85">
        <v>87841</v>
      </c>
      <c r="K122" s="85">
        <v>87841</v>
      </c>
      <c r="L122" s="85">
        <v>87841</v>
      </c>
      <c r="M122" s="85">
        <v>76420</v>
      </c>
      <c r="N122" s="85"/>
      <c r="O122" s="85">
        <v>99029</v>
      </c>
      <c r="P122" s="85">
        <v>99029</v>
      </c>
      <c r="Q122" s="85">
        <v>99029</v>
      </c>
      <c r="R122" s="85">
        <v>88134</v>
      </c>
      <c r="S122" s="228"/>
      <c r="T122" s="85">
        <v>-18304</v>
      </c>
      <c r="U122" s="85">
        <v>-18304</v>
      </c>
      <c r="V122" s="85">
        <v>-17936</v>
      </c>
      <c r="W122" s="228"/>
      <c r="X122" s="243">
        <v>44222</v>
      </c>
      <c r="Y122" s="244">
        <v>43340</v>
      </c>
      <c r="Z122" s="62"/>
      <c r="AA122" s="141">
        <v>11299</v>
      </c>
      <c r="AD122" s="244">
        <f>VLOOKUP(A122,'Change in Proportion Calc'!$A$5:$H$311,8,FALSE)+SUMIF($C$5:$AB$5,2025,C122:AB122)</f>
        <v>157131</v>
      </c>
      <c r="AF122" s="243">
        <f t="shared" si="9"/>
        <v>669475</v>
      </c>
      <c r="AG122" s="243">
        <f t="shared" si="10"/>
        <v>366332</v>
      </c>
      <c r="AI122" s="243">
        <f>VLOOKUP(A122,'OPEB Amounts_Report'!$A$10:$G$324,7,FALSE)</f>
        <v>669475</v>
      </c>
      <c r="AJ122" s="244">
        <f t="shared" si="11"/>
        <v>0</v>
      </c>
      <c r="AK122" s="244"/>
      <c r="AL122" s="354">
        <f t="shared" si="12"/>
        <v>7022</v>
      </c>
      <c r="AM122" s="243">
        <f t="shared" si="13"/>
        <v>144950</v>
      </c>
      <c r="AN122" s="243">
        <f t="shared" si="14"/>
        <v>101978</v>
      </c>
      <c r="AO122" s="243">
        <f t="shared" si="15"/>
        <v>109019</v>
      </c>
      <c r="AP122" s="243">
        <f t="shared" si="16"/>
        <v>9464</v>
      </c>
      <c r="AQ122" s="243">
        <f t="shared" si="17"/>
        <v>-62268</v>
      </c>
    </row>
    <row r="123" spans="1:43">
      <c r="A123" s="59">
        <v>2430</v>
      </c>
      <c r="B123" s="63" t="s">
        <v>113</v>
      </c>
      <c r="C123" s="85">
        <f>_xlfn.XLOOKUP($A123,'Change in Proportion Calc'!$A$5:$A$311,'Change in Proportion Calc'!L$5:L$311,,0,)</f>
        <v>-11560</v>
      </c>
      <c r="D123" s="85">
        <f>_xlfn.XLOOKUP($A123,'Change in Proportion Calc'!$A$5:$A$311,'Change in Proportion Calc'!M$5:M$311,,0,)</f>
        <v>-11560</v>
      </c>
      <c r="E123" s="85">
        <f>_xlfn.XLOOKUP($A123,'Change in Proportion Calc'!$A$5:$A$311,'Change in Proportion Calc'!N$5:N$311,,0,)</f>
        <v>-11560</v>
      </c>
      <c r="F123" s="85">
        <f>_xlfn.XLOOKUP($A123,'Change in Proportion Calc'!$A$5:$A$311,'Change in Proportion Calc'!O$5:O$311,,0,)</f>
        <v>-11560</v>
      </c>
      <c r="G123" s="85">
        <f>_xlfn.XLOOKUP($A123,'Change in Proportion Calc'!$A$5:$A$311,'Change in Proportion Calc'!P$5:P$311,,0,)</f>
        <v>-10752</v>
      </c>
      <c r="H123" s="228"/>
      <c r="I123" s="85">
        <v>-1000</v>
      </c>
      <c r="J123" s="85">
        <v>-1000</v>
      </c>
      <c r="K123" s="85">
        <v>-1000</v>
      </c>
      <c r="L123" s="85">
        <v>-1000</v>
      </c>
      <c r="M123" s="85">
        <v>-872</v>
      </c>
      <c r="N123" s="85"/>
      <c r="O123" s="85">
        <v>-1580</v>
      </c>
      <c r="P123" s="85">
        <v>-1580</v>
      </c>
      <c r="Q123" s="85">
        <v>-1580</v>
      </c>
      <c r="R123" s="85">
        <v>-1408</v>
      </c>
      <c r="S123" s="228"/>
      <c r="T123" s="85">
        <v>-7775</v>
      </c>
      <c r="U123" s="85">
        <v>-7775</v>
      </c>
      <c r="V123" s="85">
        <v>-7619</v>
      </c>
      <c r="W123" s="228"/>
      <c r="X123" s="243">
        <v>-42505</v>
      </c>
      <c r="Y123" s="244">
        <v>-41656</v>
      </c>
      <c r="Z123" s="62"/>
      <c r="AA123" s="141">
        <v>4286</v>
      </c>
      <c r="AD123" s="244">
        <f>VLOOKUP(A123,'Change in Proportion Calc'!$A$5:$H$311,8,FALSE)+SUMIF($C$5:$AB$5,2025,C123:AB123)</f>
        <v>-60134</v>
      </c>
      <c r="AF123" s="243">
        <f t="shared" si="9"/>
        <v>0</v>
      </c>
      <c r="AG123" s="243">
        <f t="shared" si="10"/>
        <v>122482</v>
      </c>
      <c r="AI123" s="243">
        <f>VLOOKUP(A123,'OPEB Amounts_Report'!$A$10:$G$324,7,FALSE)</f>
        <v>0</v>
      </c>
      <c r="AJ123" s="244">
        <f t="shared" si="11"/>
        <v>0</v>
      </c>
      <c r="AK123" s="244"/>
      <c r="AL123" s="354">
        <f t="shared" si="12"/>
        <v>2430</v>
      </c>
      <c r="AM123" s="243">
        <f t="shared" si="13"/>
        <v>-63571</v>
      </c>
      <c r="AN123" s="243">
        <f t="shared" si="14"/>
        <v>-21759</v>
      </c>
      <c r="AO123" s="243">
        <f t="shared" si="15"/>
        <v>-13968</v>
      </c>
      <c r="AP123" s="243">
        <f t="shared" si="16"/>
        <v>-12432</v>
      </c>
      <c r="AQ123" s="243">
        <f t="shared" si="17"/>
        <v>-10752</v>
      </c>
    </row>
    <row r="124" spans="1:43">
      <c r="A124" s="61">
        <v>9150</v>
      </c>
      <c r="B124" s="62" t="s">
        <v>114</v>
      </c>
      <c r="C124" s="85">
        <f>_xlfn.XLOOKUP($A124,'Change in Proportion Calc'!$A$5:$A$311,'Change in Proportion Calc'!L$5:L$311,,0,)</f>
        <v>8027</v>
      </c>
      <c r="D124" s="85">
        <f>_xlfn.XLOOKUP($A124,'Change in Proportion Calc'!$A$5:$A$311,'Change in Proportion Calc'!M$5:M$311,,0,)</f>
        <v>8027</v>
      </c>
      <c r="E124" s="85">
        <f>_xlfn.XLOOKUP($A124,'Change in Proportion Calc'!$A$5:$A$311,'Change in Proportion Calc'!N$5:N$311,,0,)</f>
        <v>8027</v>
      </c>
      <c r="F124" s="85">
        <f>_xlfn.XLOOKUP($A124,'Change in Proportion Calc'!$A$5:$A$311,'Change in Proportion Calc'!O$5:O$311,,0,)</f>
        <v>8027</v>
      </c>
      <c r="G124" s="85">
        <f>_xlfn.XLOOKUP($A124,'Change in Proportion Calc'!$A$5:$A$311,'Change in Proportion Calc'!P$5:P$311,,0,)</f>
        <v>7465</v>
      </c>
      <c r="H124" s="228"/>
      <c r="I124" s="85">
        <v>-11345</v>
      </c>
      <c r="J124" s="85">
        <v>-11345</v>
      </c>
      <c r="K124" s="85">
        <v>-11345</v>
      </c>
      <c r="L124" s="85">
        <v>-11345</v>
      </c>
      <c r="M124" s="85">
        <v>-9868</v>
      </c>
      <c r="N124" s="85"/>
      <c r="O124" s="85">
        <v>-3500</v>
      </c>
      <c r="P124" s="85">
        <v>-3500</v>
      </c>
      <c r="Q124" s="85">
        <v>-3500</v>
      </c>
      <c r="R124" s="85">
        <v>-3113</v>
      </c>
      <c r="S124" s="228"/>
      <c r="T124" s="85">
        <v>-17089</v>
      </c>
      <c r="U124" s="85">
        <v>-17089</v>
      </c>
      <c r="V124" s="85">
        <v>-16746</v>
      </c>
      <c r="W124" s="228"/>
      <c r="X124" s="243">
        <v>-98492</v>
      </c>
      <c r="Y124" s="244">
        <v>-96521</v>
      </c>
      <c r="Z124" s="62"/>
      <c r="AA124" s="141">
        <v>-39803</v>
      </c>
      <c r="AD124" s="244">
        <f>VLOOKUP(A124,'Change in Proportion Calc'!$A$5:$H$311,8,FALSE)+SUMIF($C$5:$AB$5,2025,C124:AB124)</f>
        <v>-162202</v>
      </c>
      <c r="AF124" s="243">
        <f t="shared" si="9"/>
        <v>39573</v>
      </c>
      <c r="AG124" s="243">
        <f t="shared" si="10"/>
        <v>184372</v>
      </c>
      <c r="AI124" s="243">
        <f>VLOOKUP(A124,'OPEB Amounts_Report'!$A$10:$G$324,7,FALSE)</f>
        <v>39573</v>
      </c>
      <c r="AJ124" s="244">
        <f t="shared" si="11"/>
        <v>0</v>
      </c>
      <c r="AK124" s="244"/>
      <c r="AL124" s="354">
        <f t="shared" si="12"/>
        <v>9150</v>
      </c>
      <c r="AM124" s="243">
        <f t="shared" si="13"/>
        <v>-120428</v>
      </c>
      <c r="AN124" s="243">
        <f t="shared" si="14"/>
        <v>-23564</v>
      </c>
      <c r="AO124" s="243">
        <f t="shared" si="15"/>
        <v>-6431</v>
      </c>
      <c r="AP124" s="243">
        <f t="shared" si="16"/>
        <v>-1841</v>
      </c>
      <c r="AQ124" s="243">
        <f t="shared" si="17"/>
        <v>7465</v>
      </c>
    </row>
    <row r="125" spans="1:43">
      <c r="A125" s="59">
        <v>6017</v>
      </c>
      <c r="B125" s="63" t="s">
        <v>115</v>
      </c>
      <c r="C125" s="85">
        <f>_xlfn.XLOOKUP($A125,'Change in Proportion Calc'!$A$5:$A$311,'Change in Proportion Calc'!L$5:L$311,,0,)</f>
        <v>-296569</v>
      </c>
      <c r="D125" s="85">
        <f>_xlfn.XLOOKUP($A125,'Change in Proportion Calc'!$A$5:$A$311,'Change in Proportion Calc'!M$5:M$311,,0,)</f>
        <v>-296569</v>
      </c>
      <c r="E125" s="85">
        <f>_xlfn.XLOOKUP($A125,'Change in Proportion Calc'!$A$5:$A$311,'Change in Proportion Calc'!N$5:N$311,,0,)</f>
        <v>-296569</v>
      </c>
      <c r="F125" s="85">
        <f>_xlfn.XLOOKUP($A125,'Change in Proportion Calc'!$A$5:$A$311,'Change in Proportion Calc'!O$5:O$311,,0,)</f>
        <v>-296569</v>
      </c>
      <c r="G125" s="85">
        <f>_xlfn.XLOOKUP($A125,'Change in Proportion Calc'!$A$5:$A$311,'Change in Proportion Calc'!P$5:P$311,,0,)</f>
        <v>-275810</v>
      </c>
      <c r="H125" s="228"/>
      <c r="I125" s="85">
        <v>365387</v>
      </c>
      <c r="J125" s="85">
        <v>365387</v>
      </c>
      <c r="K125" s="85">
        <v>365387</v>
      </c>
      <c r="L125" s="85">
        <v>365387</v>
      </c>
      <c r="M125" s="85">
        <v>317889</v>
      </c>
      <c r="N125" s="85"/>
      <c r="O125" s="85">
        <v>-136618</v>
      </c>
      <c r="P125" s="85">
        <v>-136618</v>
      </c>
      <c r="Q125" s="85">
        <v>-136618</v>
      </c>
      <c r="R125" s="85">
        <v>-121588</v>
      </c>
      <c r="S125" s="228"/>
      <c r="T125" s="85">
        <v>766241</v>
      </c>
      <c r="U125" s="85">
        <v>766241</v>
      </c>
      <c r="V125" s="85">
        <v>750918</v>
      </c>
      <c r="W125" s="228"/>
      <c r="X125" s="243">
        <v>379713</v>
      </c>
      <c r="Y125" s="244">
        <v>372119</v>
      </c>
      <c r="Z125" s="62"/>
      <c r="AA125" s="141">
        <v>204344</v>
      </c>
      <c r="AD125" s="244">
        <f>VLOOKUP(A125,'Change in Proportion Calc'!$A$5:$H$311,8,FALSE)+SUMIF($C$5:$AB$5,2025,C125:AB125)</f>
        <v>1282498</v>
      </c>
      <c r="AF125" s="243">
        <f t="shared" si="9"/>
        <v>3303328</v>
      </c>
      <c r="AG125" s="243">
        <f t="shared" si="10"/>
        <v>1856910</v>
      </c>
      <c r="AI125" s="243">
        <f>VLOOKUP(A125,'OPEB Amounts_Report'!$A$10:$G$324,7,FALSE)</f>
        <v>3303328</v>
      </c>
      <c r="AJ125" s="244">
        <f t="shared" si="11"/>
        <v>0</v>
      </c>
      <c r="AK125" s="244"/>
      <c r="AL125" s="354">
        <f t="shared" si="12"/>
        <v>6017</v>
      </c>
      <c r="AM125" s="243">
        <f t="shared" si="13"/>
        <v>1070560</v>
      </c>
      <c r="AN125" s="243">
        <f t="shared" si="14"/>
        <v>683118</v>
      </c>
      <c r="AO125" s="243">
        <f t="shared" si="15"/>
        <v>-52770</v>
      </c>
      <c r="AP125" s="243">
        <f t="shared" si="16"/>
        <v>21320</v>
      </c>
      <c r="AQ125" s="243">
        <f t="shared" si="17"/>
        <v>-275810</v>
      </c>
    </row>
    <row r="126" spans="1:43">
      <c r="A126" s="61">
        <v>26080</v>
      </c>
      <c r="B126" s="62" t="s">
        <v>116</v>
      </c>
      <c r="C126" s="85">
        <f>_xlfn.XLOOKUP($A126,'Change in Proportion Calc'!$A$5:$A$311,'Change in Proportion Calc'!L$5:L$311,,0,)</f>
        <v>-902</v>
      </c>
      <c r="D126" s="85">
        <f>_xlfn.XLOOKUP($A126,'Change in Proportion Calc'!$A$5:$A$311,'Change in Proportion Calc'!M$5:M$311,,0,)</f>
        <v>-902</v>
      </c>
      <c r="E126" s="85">
        <f>_xlfn.XLOOKUP($A126,'Change in Proportion Calc'!$A$5:$A$311,'Change in Proportion Calc'!N$5:N$311,,0,)</f>
        <v>-902</v>
      </c>
      <c r="F126" s="85">
        <f>_xlfn.XLOOKUP($A126,'Change in Proportion Calc'!$A$5:$A$311,'Change in Proportion Calc'!O$5:O$311,,0,)</f>
        <v>-902</v>
      </c>
      <c r="G126" s="85">
        <f>_xlfn.XLOOKUP($A126,'Change in Proportion Calc'!$A$5:$A$311,'Change in Proportion Calc'!P$5:P$311,,0,)</f>
        <v>-839</v>
      </c>
      <c r="H126" s="228"/>
      <c r="I126" s="85">
        <v>-18643</v>
      </c>
      <c r="J126" s="85">
        <v>-18643</v>
      </c>
      <c r="K126" s="85">
        <v>-18643</v>
      </c>
      <c r="L126" s="85">
        <v>-18643</v>
      </c>
      <c r="M126" s="85">
        <v>-16217</v>
      </c>
      <c r="N126" s="85"/>
      <c r="O126" s="85">
        <v>40719</v>
      </c>
      <c r="P126" s="85">
        <v>40719</v>
      </c>
      <c r="Q126" s="85">
        <v>40719</v>
      </c>
      <c r="R126" s="85">
        <v>36240</v>
      </c>
      <c r="S126" s="228"/>
      <c r="T126" s="85">
        <v>19113</v>
      </c>
      <c r="U126" s="85">
        <v>19113</v>
      </c>
      <c r="V126" s="85">
        <v>18733</v>
      </c>
      <c r="W126" s="228"/>
      <c r="X126" s="243">
        <v>172</v>
      </c>
      <c r="Y126" s="244">
        <v>167</v>
      </c>
      <c r="Z126" s="62"/>
      <c r="AA126" s="141">
        <v>1923</v>
      </c>
      <c r="AD126" s="244">
        <f>VLOOKUP(A126,'Change in Proportion Calc'!$A$5:$H$311,8,FALSE)+SUMIF($C$5:$AB$5,2025,C126:AB126)</f>
        <v>42382</v>
      </c>
      <c r="AF126" s="243">
        <f t="shared" si="9"/>
        <v>155691</v>
      </c>
      <c r="AG126" s="243">
        <f t="shared" si="10"/>
        <v>76593</v>
      </c>
      <c r="AI126" s="243">
        <f>VLOOKUP(A126,'OPEB Amounts_Report'!$A$10:$G$324,7,FALSE)</f>
        <v>155691</v>
      </c>
      <c r="AJ126" s="244">
        <f t="shared" si="11"/>
        <v>0</v>
      </c>
      <c r="AK126" s="244"/>
      <c r="AL126" s="354">
        <f t="shared" si="12"/>
        <v>26080</v>
      </c>
      <c r="AM126" s="243">
        <f t="shared" si="13"/>
        <v>40454</v>
      </c>
      <c r="AN126" s="243">
        <f t="shared" si="14"/>
        <v>39907</v>
      </c>
      <c r="AO126" s="243">
        <f t="shared" si="15"/>
        <v>16695</v>
      </c>
      <c r="AP126" s="243">
        <f t="shared" si="16"/>
        <v>-17119</v>
      </c>
      <c r="AQ126" s="243">
        <f t="shared" si="17"/>
        <v>-839</v>
      </c>
    </row>
    <row r="127" spans="1:43">
      <c r="A127" s="59">
        <v>2327</v>
      </c>
      <c r="B127" s="63" t="s">
        <v>117</v>
      </c>
      <c r="C127" s="85">
        <f>_xlfn.XLOOKUP($A127,'Change in Proportion Calc'!$A$5:$A$311,'Change in Proportion Calc'!L$5:L$311,,0,)</f>
        <v>5182</v>
      </c>
      <c r="D127" s="85">
        <f>_xlfn.XLOOKUP($A127,'Change in Proportion Calc'!$A$5:$A$311,'Change in Proportion Calc'!M$5:M$311,,0,)</f>
        <v>5182</v>
      </c>
      <c r="E127" s="85">
        <f>_xlfn.XLOOKUP($A127,'Change in Proportion Calc'!$A$5:$A$311,'Change in Proportion Calc'!N$5:N$311,,0,)</f>
        <v>5182</v>
      </c>
      <c r="F127" s="85">
        <f>_xlfn.XLOOKUP($A127,'Change in Proportion Calc'!$A$5:$A$311,'Change in Proportion Calc'!O$5:O$311,,0,)</f>
        <v>5182</v>
      </c>
      <c r="G127" s="85">
        <f>_xlfn.XLOOKUP($A127,'Change in Proportion Calc'!$A$5:$A$311,'Change in Proportion Calc'!P$5:P$311,,0,)</f>
        <v>4822</v>
      </c>
      <c r="H127" s="228"/>
      <c r="I127" s="85">
        <v>15544</v>
      </c>
      <c r="J127" s="85">
        <v>15544</v>
      </c>
      <c r="K127" s="85">
        <v>15544</v>
      </c>
      <c r="L127" s="85">
        <v>15544</v>
      </c>
      <c r="M127" s="85">
        <v>13523</v>
      </c>
      <c r="N127" s="85"/>
      <c r="O127" s="85">
        <v>-702</v>
      </c>
      <c r="P127" s="85">
        <v>-702</v>
      </c>
      <c r="Q127" s="85">
        <v>-702</v>
      </c>
      <c r="R127" s="85">
        <v>-626</v>
      </c>
      <c r="S127" s="228"/>
      <c r="T127" s="85">
        <v>-34745</v>
      </c>
      <c r="U127" s="85">
        <v>-34745</v>
      </c>
      <c r="V127" s="85">
        <v>-34048</v>
      </c>
      <c r="W127" s="228"/>
      <c r="X127" s="243">
        <v>20265</v>
      </c>
      <c r="Y127" s="244">
        <v>19860</v>
      </c>
      <c r="Z127" s="62"/>
      <c r="AA127" s="141">
        <v>1492</v>
      </c>
      <c r="AD127" s="244">
        <f>VLOOKUP(A127,'Change in Proportion Calc'!$A$5:$H$311,8,FALSE)+SUMIF($C$5:$AB$5,2025,C127:AB127)</f>
        <v>7036</v>
      </c>
      <c r="AF127" s="243">
        <f t="shared" si="9"/>
        <v>105565</v>
      </c>
      <c r="AG127" s="243">
        <f t="shared" si="10"/>
        <v>70823</v>
      </c>
      <c r="AI127" s="243">
        <f>VLOOKUP(A127,'OPEB Amounts_Report'!$A$10:$G$324,7,FALSE)</f>
        <v>105565</v>
      </c>
      <c r="AJ127" s="244">
        <f t="shared" si="11"/>
        <v>0</v>
      </c>
      <c r="AK127" s="244"/>
      <c r="AL127" s="354">
        <f t="shared" si="12"/>
        <v>2327</v>
      </c>
      <c r="AM127" s="243">
        <f t="shared" si="13"/>
        <v>5139</v>
      </c>
      <c r="AN127" s="243">
        <f t="shared" si="14"/>
        <v>-14024</v>
      </c>
      <c r="AO127" s="243">
        <f t="shared" si="15"/>
        <v>20100</v>
      </c>
      <c r="AP127" s="243">
        <f t="shared" si="16"/>
        <v>18705</v>
      </c>
      <c r="AQ127" s="243">
        <f t="shared" si="17"/>
        <v>4822</v>
      </c>
    </row>
    <row r="128" spans="1:43">
      <c r="A128" s="61">
        <v>10119</v>
      </c>
      <c r="B128" s="62" t="s">
        <v>118</v>
      </c>
      <c r="C128" s="85">
        <f>_xlfn.XLOOKUP($A128,'Change in Proportion Calc'!$A$5:$A$311,'Change in Proportion Calc'!L$5:L$311,,0,)</f>
        <v>-14172</v>
      </c>
      <c r="D128" s="85">
        <f>_xlfn.XLOOKUP($A128,'Change in Proportion Calc'!$A$5:$A$311,'Change in Proportion Calc'!M$5:M$311,,0,)</f>
        <v>-14172</v>
      </c>
      <c r="E128" s="85">
        <f>_xlfn.XLOOKUP($A128,'Change in Proportion Calc'!$A$5:$A$311,'Change in Proportion Calc'!N$5:N$311,,0,)</f>
        <v>-14172</v>
      </c>
      <c r="F128" s="85">
        <f>_xlfn.XLOOKUP($A128,'Change in Proportion Calc'!$A$5:$A$311,'Change in Proportion Calc'!O$5:O$311,,0,)</f>
        <v>-14172</v>
      </c>
      <c r="G128" s="85">
        <f>_xlfn.XLOOKUP($A128,'Change in Proportion Calc'!$A$5:$A$311,'Change in Proportion Calc'!P$5:P$311,,0,)</f>
        <v>-13180</v>
      </c>
      <c r="H128" s="228"/>
      <c r="I128" s="85">
        <v>13139</v>
      </c>
      <c r="J128" s="85">
        <v>13139</v>
      </c>
      <c r="K128" s="85">
        <v>13139</v>
      </c>
      <c r="L128" s="85">
        <v>13139</v>
      </c>
      <c r="M128" s="85">
        <v>11433</v>
      </c>
      <c r="N128" s="85"/>
      <c r="O128" s="85">
        <v>-15250</v>
      </c>
      <c r="P128" s="85">
        <v>-15250</v>
      </c>
      <c r="Q128" s="85">
        <v>-15250</v>
      </c>
      <c r="R128" s="85">
        <v>-13572</v>
      </c>
      <c r="S128" s="228"/>
      <c r="T128" s="85">
        <v>4616</v>
      </c>
      <c r="U128" s="85">
        <v>4616</v>
      </c>
      <c r="V128" s="85">
        <v>4526</v>
      </c>
      <c r="W128" s="228"/>
      <c r="X128" s="243">
        <v>-16315</v>
      </c>
      <c r="Y128" s="244">
        <v>-15989</v>
      </c>
      <c r="Z128" s="62"/>
      <c r="AA128" s="141">
        <v>0</v>
      </c>
      <c r="AD128" s="244">
        <f>VLOOKUP(A128,'Change in Proportion Calc'!$A$5:$H$311,8,FALSE)+SUMIF($C$5:$AB$5,2025,C128:AB128)</f>
        <v>-27982</v>
      </c>
      <c r="AF128" s="243">
        <f t="shared" si="9"/>
        <v>59992</v>
      </c>
      <c r="AG128" s="243">
        <f t="shared" si="10"/>
        <v>129929</v>
      </c>
      <c r="AI128" s="243">
        <f>VLOOKUP(A128,'OPEB Amounts_Report'!$A$10:$G$324,7,FALSE)</f>
        <v>59992</v>
      </c>
      <c r="AJ128" s="244">
        <f t="shared" si="11"/>
        <v>0</v>
      </c>
      <c r="AK128" s="244"/>
      <c r="AL128" s="354">
        <f t="shared" si="12"/>
        <v>10119</v>
      </c>
      <c r="AM128" s="243">
        <f t="shared" si="13"/>
        <v>-27656</v>
      </c>
      <c r="AN128" s="243">
        <f t="shared" si="14"/>
        <v>-11757</v>
      </c>
      <c r="AO128" s="243">
        <f t="shared" si="15"/>
        <v>-14605</v>
      </c>
      <c r="AP128" s="243">
        <f t="shared" si="16"/>
        <v>-2739</v>
      </c>
      <c r="AQ128" s="243">
        <f t="shared" si="17"/>
        <v>-13180</v>
      </c>
    </row>
    <row r="129" spans="1:43">
      <c r="A129" s="59">
        <v>573</v>
      </c>
      <c r="B129" s="63" t="s">
        <v>399</v>
      </c>
      <c r="C129" s="85">
        <f>_xlfn.XLOOKUP($A129,'Change in Proportion Calc'!$A$5:$A$311,'Change in Proportion Calc'!L$5:L$311,,0,)</f>
        <v>171857</v>
      </c>
      <c r="D129" s="85">
        <f>_xlfn.XLOOKUP($A129,'Change in Proportion Calc'!$A$5:$A$311,'Change in Proportion Calc'!M$5:M$311,,0,)</f>
        <v>171857</v>
      </c>
      <c r="E129" s="85">
        <f>_xlfn.XLOOKUP($A129,'Change in Proportion Calc'!$A$5:$A$311,'Change in Proportion Calc'!N$5:N$311,,0,)</f>
        <v>171857</v>
      </c>
      <c r="F129" s="85">
        <f>_xlfn.XLOOKUP($A129,'Change in Proportion Calc'!$A$5:$A$311,'Change in Proportion Calc'!O$5:O$311,,0,)</f>
        <v>171857</v>
      </c>
      <c r="G129" s="85">
        <f>_xlfn.XLOOKUP($A129,'Change in Proportion Calc'!$A$5:$A$311,'Change in Proportion Calc'!P$5:P$311,,0,)</f>
        <v>159825</v>
      </c>
      <c r="H129" s="228"/>
      <c r="I129" s="85">
        <v>139857</v>
      </c>
      <c r="J129" s="85">
        <v>139857</v>
      </c>
      <c r="K129" s="85">
        <v>139857</v>
      </c>
      <c r="L129" s="85">
        <v>139857</v>
      </c>
      <c r="M129" s="85">
        <v>121675</v>
      </c>
      <c r="N129" s="85"/>
      <c r="O129" s="85">
        <v>130011</v>
      </c>
      <c r="P129" s="85">
        <v>130011</v>
      </c>
      <c r="Q129" s="85">
        <v>130011</v>
      </c>
      <c r="R129" s="85">
        <v>115709</v>
      </c>
      <c r="S129" s="228"/>
      <c r="T129" s="85">
        <v>77912</v>
      </c>
      <c r="U129" s="85">
        <v>77912</v>
      </c>
      <c r="V129" s="85">
        <v>76353</v>
      </c>
      <c r="W129" s="228"/>
      <c r="X129" s="243">
        <v>134814</v>
      </c>
      <c r="Y129" s="244">
        <v>132120</v>
      </c>
      <c r="Z129" s="62"/>
      <c r="AA129" s="141">
        <v>83514</v>
      </c>
      <c r="AD129" s="244">
        <f>VLOOKUP(A129,'Change in Proportion Calc'!$A$5:$H$311,8,FALSE)+SUMIF($C$5:$AB$5,2025,C129:AB129)</f>
        <v>737965</v>
      </c>
      <c r="AF129" s="243">
        <f t="shared" si="9"/>
        <v>2050615</v>
      </c>
      <c r="AG129" s="243">
        <f t="shared" si="10"/>
        <v>0</v>
      </c>
      <c r="AI129" s="243">
        <f>VLOOKUP(A129,'OPEB Amounts_Report'!$A$10:$G$324,7,FALSE)</f>
        <v>2050615</v>
      </c>
      <c r="AJ129" s="244">
        <f t="shared" si="11"/>
        <v>0</v>
      </c>
      <c r="AK129" s="244"/>
      <c r="AL129" s="354">
        <f t="shared" si="12"/>
        <v>573</v>
      </c>
      <c r="AM129" s="243">
        <f t="shared" si="13"/>
        <v>651757</v>
      </c>
      <c r="AN129" s="243">
        <f t="shared" si="14"/>
        <v>518078</v>
      </c>
      <c r="AO129" s="243">
        <f t="shared" si="15"/>
        <v>427423</v>
      </c>
      <c r="AP129" s="243">
        <f t="shared" si="16"/>
        <v>293532</v>
      </c>
      <c r="AQ129" s="243">
        <f t="shared" si="17"/>
        <v>159825</v>
      </c>
    </row>
    <row r="130" spans="1:43">
      <c r="A130" s="61">
        <v>2368</v>
      </c>
      <c r="B130" s="62" t="s">
        <v>119</v>
      </c>
      <c r="C130" s="85">
        <f>_xlfn.XLOOKUP($A130,'Change in Proportion Calc'!$A$5:$A$311,'Change in Proportion Calc'!L$5:L$311,,0,)</f>
        <v>-12997</v>
      </c>
      <c r="D130" s="85">
        <f>_xlfn.XLOOKUP($A130,'Change in Proportion Calc'!$A$5:$A$311,'Change in Proportion Calc'!M$5:M$311,,0,)</f>
        <v>-12997</v>
      </c>
      <c r="E130" s="85">
        <f>_xlfn.XLOOKUP($A130,'Change in Proportion Calc'!$A$5:$A$311,'Change in Proportion Calc'!N$5:N$311,,0,)</f>
        <v>-12997</v>
      </c>
      <c r="F130" s="85">
        <f>_xlfn.XLOOKUP($A130,'Change in Proportion Calc'!$A$5:$A$311,'Change in Proportion Calc'!O$5:O$311,,0,)</f>
        <v>-12997</v>
      </c>
      <c r="G130" s="85">
        <f>_xlfn.XLOOKUP($A130,'Change in Proportion Calc'!$A$5:$A$311,'Change in Proportion Calc'!P$5:P$311,,0,)</f>
        <v>-12085</v>
      </c>
      <c r="H130" s="228"/>
      <c r="I130" s="85">
        <v>34427</v>
      </c>
      <c r="J130" s="85">
        <v>34427</v>
      </c>
      <c r="K130" s="85">
        <v>34427</v>
      </c>
      <c r="L130" s="85">
        <v>34427</v>
      </c>
      <c r="M130" s="85">
        <v>29950</v>
      </c>
      <c r="N130" s="85"/>
      <c r="O130" s="85">
        <v>-59613</v>
      </c>
      <c r="P130" s="85">
        <v>-59613</v>
      </c>
      <c r="Q130" s="85">
        <v>-59613</v>
      </c>
      <c r="R130" s="85">
        <v>-53057</v>
      </c>
      <c r="S130" s="228"/>
      <c r="T130" s="85">
        <v>100427</v>
      </c>
      <c r="U130" s="85">
        <v>100427</v>
      </c>
      <c r="V130" s="85">
        <v>98418</v>
      </c>
      <c r="W130" s="228"/>
      <c r="X130" s="243">
        <v>7470</v>
      </c>
      <c r="Y130" s="244">
        <v>7323</v>
      </c>
      <c r="Z130" s="62"/>
      <c r="AA130" s="141">
        <v>-31231</v>
      </c>
      <c r="AD130" s="244">
        <f>VLOOKUP(A130,'Change in Proportion Calc'!$A$5:$H$311,8,FALSE)+SUMIF($C$5:$AB$5,2025,C130:AB130)</f>
        <v>38483</v>
      </c>
      <c r="AF130" s="243">
        <f t="shared" si="9"/>
        <v>339399</v>
      </c>
      <c r="AG130" s="243">
        <f t="shared" si="10"/>
        <v>236356</v>
      </c>
      <c r="AI130" s="243">
        <f>VLOOKUP(A130,'OPEB Amounts_Report'!$A$10:$G$324,7,FALSE)</f>
        <v>339399</v>
      </c>
      <c r="AJ130" s="244">
        <f t="shared" si="11"/>
        <v>0</v>
      </c>
      <c r="AK130" s="244"/>
      <c r="AL130" s="354">
        <f t="shared" si="12"/>
        <v>2368</v>
      </c>
      <c r="AM130" s="243">
        <f t="shared" si="13"/>
        <v>69567</v>
      </c>
      <c r="AN130" s="243">
        <f t="shared" si="14"/>
        <v>60235</v>
      </c>
      <c r="AO130" s="243">
        <f t="shared" si="15"/>
        <v>-31627</v>
      </c>
      <c r="AP130" s="243">
        <f t="shared" si="16"/>
        <v>16953</v>
      </c>
      <c r="AQ130" s="243">
        <f t="shared" si="17"/>
        <v>-12085</v>
      </c>
    </row>
    <row r="131" spans="1:43">
      <c r="A131" s="59">
        <v>7420</v>
      </c>
      <c r="B131" s="63" t="s">
        <v>120</v>
      </c>
      <c r="C131" s="85">
        <f>_xlfn.XLOOKUP($A131,'Change in Proportion Calc'!$A$5:$A$311,'Change in Proportion Calc'!L$5:L$311,,0,)</f>
        <v>3350</v>
      </c>
      <c r="D131" s="85">
        <f>_xlfn.XLOOKUP($A131,'Change in Proportion Calc'!$A$5:$A$311,'Change in Proportion Calc'!M$5:M$311,,0,)</f>
        <v>3350</v>
      </c>
      <c r="E131" s="85">
        <f>_xlfn.XLOOKUP($A131,'Change in Proportion Calc'!$A$5:$A$311,'Change in Proportion Calc'!N$5:N$311,,0,)</f>
        <v>3350</v>
      </c>
      <c r="F131" s="85">
        <f>_xlfn.XLOOKUP($A131,'Change in Proportion Calc'!$A$5:$A$311,'Change in Proportion Calc'!O$5:O$311,,0,)</f>
        <v>3350</v>
      </c>
      <c r="G131" s="85">
        <f>_xlfn.XLOOKUP($A131,'Change in Proportion Calc'!$A$5:$A$311,'Change in Proportion Calc'!P$5:P$311,,0,)</f>
        <v>3114</v>
      </c>
      <c r="H131" s="228"/>
      <c r="I131" s="85">
        <v>5077</v>
      </c>
      <c r="J131" s="85">
        <v>5077</v>
      </c>
      <c r="K131" s="85">
        <v>5077</v>
      </c>
      <c r="L131" s="85">
        <v>5077</v>
      </c>
      <c r="M131" s="85">
        <v>4418</v>
      </c>
      <c r="N131" s="85"/>
      <c r="O131" s="85">
        <v>14194</v>
      </c>
      <c r="P131" s="85">
        <v>14194</v>
      </c>
      <c r="Q131" s="85">
        <v>14194</v>
      </c>
      <c r="R131" s="85">
        <v>12632</v>
      </c>
      <c r="S131" s="228"/>
      <c r="T131" s="85">
        <v>14578</v>
      </c>
      <c r="U131" s="85">
        <v>14578</v>
      </c>
      <c r="V131" s="85">
        <v>14287</v>
      </c>
      <c r="W131" s="228"/>
      <c r="X131" s="243">
        <v>-3177</v>
      </c>
      <c r="Y131" s="244">
        <v>-3114</v>
      </c>
      <c r="Z131" s="62"/>
      <c r="AA131" s="141">
        <v>7017</v>
      </c>
      <c r="AD131" s="244">
        <f>VLOOKUP(A131,'Change in Proportion Calc'!$A$5:$H$311,8,FALSE)+SUMIF($C$5:$AB$5,2025,C131:AB131)</f>
        <v>41039</v>
      </c>
      <c r="AF131" s="243">
        <f t="shared" si="9"/>
        <v>106048</v>
      </c>
      <c r="AG131" s="243">
        <f t="shared" si="10"/>
        <v>3114</v>
      </c>
      <c r="AI131" s="243">
        <f>VLOOKUP(A131,'OPEB Amounts_Report'!$A$10:$G$324,7,FALSE)</f>
        <v>106048</v>
      </c>
      <c r="AJ131" s="244">
        <f t="shared" si="11"/>
        <v>0</v>
      </c>
      <c r="AK131" s="244"/>
      <c r="AL131" s="354">
        <f t="shared" si="12"/>
        <v>7420</v>
      </c>
      <c r="AM131" s="243">
        <f t="shared" si="13"/>
        <v>34085</v>
      </c>
      <c r="AN131" s="243">
        <f t="shared" si="14"/>
        <v>36908</v>
      </c>
      <c r="AO131" s="243">
        <f t="shared" si="15"/>
        <v>21059</v>
      </c>
      <c r="AP131" s="243">
        <f t="shared" si="16"/>
        <v>7768</v>
      </c>
      <c r="AQ131" s="243">
        <f t="shared" si="17"/>
        <v>3114</v>
      </c>
    </row>
    <row r="132" spans="1:43">
      <c r="A132" s="61">
        <v>6018</v>
      </c>
      <c r="B132" s="62" t="s">
        <v>121</v>
      </c>
      <c r="C132" s="85">
        <f>_xlfn.XLOOKUP($A132,'Change in Proportion Calc'!$A$5:$A$311,'Change in Proportion Calc'!L$5:L$311,,0,)</f>
        <v>34094</v>
      </c>
      <c r="D132" s="85">
        <f>_xlfn.XLOOKUP($A132,'Change in Proportion Calc'!$A$5:$A$311,'Change in Proportion Calc'!M$5:M$311,,0,)</f>
        <v>34094</v>
      </c>
      <c r="E132" s="85">
        <f>_xlfn.XLOOKUP($A132,'Change in Proportion Calc'!$A$5:$A$311,'Change in Proportion Calc'!N$5:N$311,,0,)</f>
        <v>34094</v>
      </c>
      <c r="F132" s="85">
        <f>_xlfn.XLOOKUP($A132,'Change in Proportion Calc'!$A$5:$A$311,'Change in Proportion Calc'!O$5:O$311,,0,)</f>
        <v>34094</v>
      </c>
      <c r="G132" s="85">
        <f>_xlfn.XLOOKUP($A132,'Change in Proportion Calc'!$A$5:$A$311,'Change in Proportion Calc'!P$5:P$311,,0,)</f>
        <v>31709</v>
      </c>
      <c r="H132" s="228"/>
      <c r="I132" s="85">
        <v>88519</v>
      </c>
      <c r="J132" s="85">
        <v>88519</v>
      </c>
      <c r="K132" s="85">
        <v>88519</v>
      </c>
      <c r="L132" s="85">
        <v>88519</v>
      </c>
      <c r="M132" s="85">
        <v>77012</v>
      </c>
      <c r="N132" s="85"/>
      <c r="O132" s="85">
        <v>-3362</v>
      </c>
      <c r="P132" s="85">
        <v>-3362</v>
      </c>
      <c r="Q132" s="85">
        <v>-3362</v>
      </c>
      <c r="R132" s="85">
        <v>-2992</v>
      </c>
      <c r="S132" s="228"/>
      <c r="T132" s="85">
        <v>26079</v>
      </c>
      <c r="U132" s="85">
        <v>26079</v>
      </c>
      <c r="V132" s="85">
        <v>25555</v>
      </c>
      <c r="W132" s="228"/>
      <c r="X132" s="243">
        <v>8415</v>
      </c>
      <c r="Y132" s="244">
        <v>8248</v>
      </c>
      <c r="Z132" s="62"/>
      <c r="AA132" s="141">
        <v>-1861</v>
      </c>
      <c r="AD132" s="244">
        <f>VLOOKUP(A132,'Change in Proportion Calc'!$A$5:$H$311,8,FALSE)+SUMIF($C$5:$AB$5,2025,C132:AB132)</f>
        <v>151884</v>
      </c>
      <c r="AF132" s="243">
        <f t="shared" si="9"/>
        <v>570536</v>
      </c>
      <c r="AG132" s="243">
        <f t="shared" si="10"/>
        <v>9716</v>
      </c>
      <c r="AI132" s="243">
        <f>VLOOKUP(A132,'OPEB Amounts_Report'!$A$10:$G$324,7,FALSE)</f>
        <v>570536</v>
      </c>
      <c r="AJ132" s="244">
        <f t="shared" si="11"/>
        <v>0</v>
      </c>
      <c r="AK132" s="244"/>
      <c r="AL132" s="354">
        <f t="shared" si="12"/>
        <v>6018</v>
      </c>
      <c r="AM132" s="243">
        <f t="shared" si="13"/>
        <v>153578</v>
      </c>
      <c r="AN132" s="243">
        <f t="shared" si="14"/>
        <v>144806</v>
      </c>
      <c r="AO132" s="243">
        <f t="shared" si="15"/>
        <v>119621</v>
      </c>
      <c r="AP132" s="243">
        <f t="shared" si="16"/>
        <v>111106</v>
      </c>
      <c r="AQ132" s="243">
        <f t="shared" si="17"/>
        <v>31709</v>
      </c>
    </row>
    <row r="133" spans="1:43">
      <c r="A133" s="59">
        <v>3321</v>
      </c>
      <c r="B133" s="63" t="s">
        <v>122</v>
      </c>
      <c r="C133" s="85">
        <f>_xlfn.XLOOKUP($A133,'Change in Proportion Calc'!$A$5:$A$311,'Change in Proportion Calc'!L$5:L$311,,0,)</f>
        <v>-35887</v>
      </c>
      <c r="D133" s="85">
        <f>_xlfn.XLOOKUP($A133,'Change in Proportion Calc'!$A$5:$A$311,'Change in Proportion Calc'!M$5:M$311,,0,)</f>
        <v>-35887</v>
      </c>
      <c r="E133" s="85">
        <f>_xlfn.XLOOKUP($A133,'Change in Proportion Calc'!$A$5:$A$311,'Change in Proportion Calc'!N$5:N$311,,0,)</f>
        <v>-35887</v>
      </c>
      <c r="F133" s="85">
        <f>_xlfn.XLOOKUP($A133,'Change in Proportion Calc'!$A$5:$A$311,'Change in Proportion Calc'!O$5:O$311,,0,)</f>
        <v>-35887</v>
      </c>
      <c r="G133" s="85">
        <f>_xlfn.XLOOKUP($A133,'Change in Proportion Calc'!$A$5:$A$311,'Change in Proportion Calc'!P$5:P$311,,0,)</f>
        <v>-33377</v>
      </c>
      <c r="H133" s="228"/>
      <c r="I133" s="85">
        <v>-15707</v>
      </c>
      <c r="J133" s="85">
        <v>-15707</v>
      </c>
      <c r="K133" s="85">
        <v>-15707</v>
      </c>
      <c r="L133" s="85">
        <v>-15707</v>
      </c>
      <c r="M133" s="85">
        <v>-13665</v>
      </c>
      <c r="N133" s="85"/>
      <c r="O133" s="85">
        <v>45429</v>
      </c>
      <c r="P133" s="85">
        <v>45429</v>
      </c>
      <c r="Q133" s="85">
        <v>45429</v>
      </c>
      <c r="R133" s="85">
        <v>40432</v>
      </c>
      <c r="S133" s="228"/>
      <c r="T133" s="85">
        <v>9719</v>
      </c>
      <c r="U133" s="85">
        <v>9719</v>
      </c>
      <c r="V133" s="85">
        <v>9523</v>
      </c>
      <c r="W133" s="228"/>
      <c r="X133" s="243">
        <v>12451</v>
      </c>
      <c r="Y133" s="244">
        <v>12202</v>
      </c>
      <c r="Z133" s="62"/>
      <c r="AA133" s="141">
        <v>11982</v>
      </c>
      <c r="AD133" s="244">
        <f>VLOOKUP(A133,'Change in Proportion Calc'!$A$5:$H$311,8,FALSE)+SUMIF($C$5:$AB$5,2025,C133:AB133)</f>
        <v>27987</v>
      </c>
      <c r="AF133" s="243">
        <f t="shared" si="9"/>
        <v>162734</v>
      </c>
      <c r="AG133" s="243">
        <f t="shared" si="10"/>
        <v>237711</v>
      </c>
      <c r="AI133" s="243">
        <f>VLOOKUP(A133,'OPEB Amounts_Report'!$A$10:$G$324,7,FALSE)</f>
        <v>162734</v>
      </c>
      <c r="AJ133" s="244">
        <f t="shared" si="11"/>
        <v>0</v>
      </c>
      <c r="AK133" s="244"/>
      <c r="AL133" s="354">
        <f t="shared" si="12"/>
        <v>3321</v>
      </c>
      <c r="AM133" s="243">
        <f t="shared" si="13"/>
        <v>15756</v>
      </c>
      <c r="AN133" s="243">
        <f t="shared" si="14"/>
        <v>3358</v>
      </c>
      <c r="AO133" s="243">
        <f t="shared" si="15"/>
        <v>-11162</v>
      </c>
      <c r="AP133" s="243">
        <f t="shared" si="16"/>
        <v>-49552</v>
      </c>
      <c r="AQ133" s="243">
        <f t="shared" si="17"/>
        <v>-33377</v>
      </c>
    </row>
    <row r="134" spans="1:43">
      <c r="A134" s="61">
        <v>29122</v>
      </c>
      <c r="B134" s="62" t="s">
        <v>123</v>
      </c>
      <c r="C134" s="85">
        <f>_xlfn.XLOOKUP($A134,'Change in Proportion Calc'!$A$5:$A$311,'Change in Proportion Calc'!L$5:L$311,,0,)</f>
        <v>-67666</v>
      </c>
      <c r="D134" s="85">
        <f>_xlfn.XLOOKUP($A134,'Change in Proportion Calc'!$A$5:$A$311,'Change in Proportion Calc'!M$5:M$311,,0,)</f>
        <v>-67666</v>
      </c>
      <c r="E134" s="85">
        <f>_xlfn.XLOOKUP($A134,'Change in Proportion Calc'!$A$5:$A$311,'Change in Proportion Calc'!N$5:N$311,,0,)</f>
        <v>-67666</v>
      </c>
      <c r="F134" s="85">
        <f>_xlfn.XLOOKUP($A134,'Change in Proportion Calc'!$A$5:$A$311,'Change in Proportion Calc'!O$5:O$311,,0,)</f>
        <v>-67666</v>
      </c>
      <c r="G134" s="85">
        <f>_xlfn.XLOOKUP($A134,'Change in Proportion Calc'!$A$5:$A$311,'Change in Proportion Calc'!P$5:P$311,,0,)</f>
        <v>-62927</v>
      </c>
      <c r="H134" s="228"/>
      <c r="I134" s="85">
        <v>56263</v>
      </c>
      <c r="J134" s="85">
        <v>56263</v>
      </c>
      <c r="K134" s="85">
        <v>56263</v>
      </c>
      <c r="L134" s="85">
        <v>56263</v>
      </c>
      <c r="M134" s="85">
        <v>48951</v>
      </c>
      <c r="N134" s="85"/>
      <c r="O134" s="85">
        <v>-9629</v>
      </c>
      <c r="P134" s="85">
        <v>-9629</v>
      </c>
      <c r="Q134" s="85">
        <v>-9629</v>
      </c>
      <c r="R134" s="85">
        <v>-8572</v>
      </c>
      <c r="S134" s="228"/>
      <c r="T134" s="85">
        <v>-45597</v>
      </c>
      <c r="U134" s="85">
        <v>-45597</v>
      </c>
      <c r="V134" s="85">
        <v>-44685</v>
      </c>
      <c r="W134" s="228"/>
      <c r="X134" s="243">
        <v>49117</v>
      </c>
      <c r="Y134" s="244">
        <v>48135</v>
      </c>
      <c r="Z134" s="62"/>
      <c r="AA134" s="141">
        <v>-24152</v>
      </c>
      <c r="AD134" s="244">
        <f>VLOOKUP(A134,'Change in Proportion Calc'!$A$5:$H$311,8,FALSE)+SUMIF($C$5:$AB$5,2025,C134:AB134)</f>
        <v>-41664</v>
      </c>
      <c r="AF134" s="243">
        <f t="shared" si="9"/>
        <v>265875</v>
      </c>
      <c r="AG134" s="243">
        <f t="shared" si="10"/>
        <v>451703</v>
      </c>
      <c r="AI134" s="243">
        <f>VLOOKUP(A134,'OPEB Amounts_Report'!$A$10:$G$324,7,FALSE)</f>
        <v>265875</v>
      </c>
      <c r="AJ134" s="244">
        <f t="shared" si="11"/>
        <v>0</v>
      </c>
      <c r="AK134" s="244"/>
      <c r="AL134" s="354">
        <f t="shared" si="12"/>
        <v>29122</v>
      </c>
      <c r="AM134" s="243">
        <f t="shared" si="13"/>
        <v>-18494</v>
      </c>
      <c r="AN134" s="243">
        <f t="shared" si="14"/>
        <v>-65717</v>
      </c>
      <c r="AO134" s="243">
        <f t="shared" si="15"/>
        <v>-19975</v>
      </c>
      <c r="AP134" s="243">
        <f t="shared" si="16"/>
        <v>-18715</v>
      </c>
      <c r="AQ134" s="243">
        <f t="shared" si="17"/>
        <v>-62927</v>
      </c>
    </row>
    <row r="135" spans="1:43">
      <c r="A135" s="59">
        <v>29088</v>
      </c>
      <c r="B135" s="63" t="s">
        <v>124</v>
      </c>
      <c r="C135" s="85">
        <f>_xlfn.XLOOKUP($A135,'Change in Proportion Calc'!$A$5:$A$311,'Change in Proportion Calc'!L$5:L$311,,0,)</f>
        <v>-33404</v>
      </c>
      <c r="D135" s="85">
        <f>_xlfn.XLOOKUP($A135,'Change in Proportion Calc'!$A$5:$A$311,'Change in Proportion Calc'!M$5:M$311,,0,)</f>
        <v>-33404</v>
      </c>
      <c r="E135" s="85">
        <f>_xlfn.XLOOKUP($A135,'Change in Proportion Calc'!$A$5:$A$311,'Change in Proportion Calc'!N$5:N$311,,0,)</f>
        <v>-33404</v>
      </c>
      <c r="F135" s="85">
        <f>_xlfn.XLOOKUP($A135,'Change in Proportion Calc'!$A$5:$A$311,'Change in Proportion Calc'!O$5:O$311,,0,)</f>
        <v>-33404</v>
      </c>
      <c r="G135" s="85">
        <f>_xlfn.XLOOKUP($A135,'Change in Proportion Calc'!$A$5:$A$311,'Change in Proportion Calc'!P$5:P$311,,0,)</f>
        <v>-31066</v>
      </c>
      <c r="H135" s="228"/>
      <c r="I135" s="85">
        <v>26953</v>
      </c>
      <c r="J135" s="85">
        <v>26953</v>
      </c>
      <c r="K135" s="85">
        <v>26953</v>
      </c>
      <c r="L135" s="85">
        <v>26953</v>
      </c>
      <c r="M135" s="85">
        <v>23448</v>
      </c>
      <c r="N135" s="85"/>
      <c r="O135" s="85">
        <v>6709</v>
      </c>
      <c r="P135" s="85">
        <v>6709</v>
      </c>
      <c r="Q135" s="85">
        <v>6709</v>
      </c>
      <c r="R135" s="85">
        <v>5973</v>
      </c>
      <c r="S135" s="228"/>
      <c r="T135" s="85">
        <v>-1620</v>
      </c>
      <c r="U135" s="85">
        <v>-1620</v>
      </c>
      <c r="V135" s="85">
        <v>-1586</v>
      </c>
      <c r="W135" s="228"/>
      <c r="X135" s="243">
        <v>-50405</v>
      </c>
      <c r="Y135" s="244">
        <v>-49398</v>
      </c>
      <c r="Z135" s="62"/>
      <c r="AA135" s="141">
        <v>435</v>
      </c>
      <c r="AD135" s="244">
        <f>VLOOKUP(A135,'Change in Proportion Calc'!$A$5:$H$311,8,FALSE)+SUMIF($C$5:$AB$5,2025,C135:AB135)</f>
        <v>-51332</v>
      </c>
      <c r="AF135" s="243">
        <f t="shared" si="9"/>
        <v>123698</v>
      </c>
      <c r="AG135" s="243">
        <f t="shared" si="10"/>
        <v>217286</v>
      </c>
      <c r="AI135" s="243">
        <f>VLOOKUP(A135,'OPEB Amounts_Report'!$A$10:$G$324,7,FALSE)</f>
        <v>123698</v>
      </c>
      <c r="AJ135" s="244">
        <f t="shared" si="11"/>
        <v>0</v>
      </c>
      <c r="AK135" s="244"/>
      <c r="AL135" s="354">
        <f t="shared" si="12"/>
        <v>29088</v>
      </c>
      <c r="AM135" s="243">
        <f t="shared" si="13"/>
        <v>-50760</v>
      </c>
      <c r="AN135" s="243">
        <f t="shared" si="14"/>
        <v>-1328</v>
      </c>
      <c r="AO135" s="243">
        <f t="shared" si="15"/>
        <v>-478</v>
      </c>
      <c r="AP135" s="243">
        <f t="shared" si="16"/>
        <v>-9956</v>
      </c>
      <c r="AQ135" s="243">
        <f t="shared" si="17"/>
        <v>-31066</v>
      </c>
    </row>
    <row r="136" spans="1:43">
      <c r="A136" s="61">
        <v>7337</v>
      </c>
      <c r="B136" s="62" t="s">
        <v>125</v>
      </c>
      <c r="C136" s="85">
        <f>_xlfn.XLOOKUP($A136,'Change in Proportion Calc'!$A$5:$A$311,'Change in Proportion Calc'!L$5:L$311,,0,)</f>
        <v>-32739</v>
      </c>
      <c r="D136" s="85">
        <f>_xlfn.XLOOKUP($A136,'Change in Proportion Calc'!$A$5:$A$311,'Change in Proportion Calc'!M$5:M$311,,0,)</f>
        <v>-32739</v>
      </c>
      <c r="E136" s="85">
        <f>_xlfn.XLOOKUP($A136,'Change in Proportion Calc'!$A$5:$A$311,'Change in Proportion Calc'!N$5:N$311,,0,)</f>
        <v>-32739</v>
      </c>
      <c r="F136" s="85">
        <f>_xlfn.XLOOKUP($A136,'Change in Proportion Calc'!$A$5:$A$311,'Change in Proportion Calc'!O$5:O$311,,0,)</f>
        <v>-32739</v>
      </c>
      <c r="G136" s="85">
        <f>_xlfn.XLOOKUP($A136,'Change in Proportion Calc'!$A$5:$A$311,'Change in Proportion Calc'!P$5:P$311,,0,)</f>
        <v>-30446</v>
      </c>
      <c r="H136" s="228"/>
      <c r="I136" s="85">
        <v>9930</v>
      </c>
      <c r="J136" s="85">
        <v>9930</v>
      </c>
      <c r="K136" s="85">
        <v>9930</v>
      </c>
      <c r="L136" s="85">
        <v>9930</v>
      </c>
      <c r="M136" s="85">
        <v>8641</v>
      </c>
      <c r="N136" s="85"/>
      <c r="O136" s="85">
        <v>7991</v>
      </c>
      <c r="P136" s="85">
        <v>7991</v>
      </c>
      <c r="Q136" s="85">
        <v>7991</v>
      </c>
      <c r="R136" s="85">
        <v>7113</v>
      </c>
      <c r="S136" s="228"/>
      <c r="T136" s="85">
        <v>-18951</v>
      </c>
      <c r="U136" s="85">
        <v>-18951</v>
      </c>
      <c r="V136" s="85">
        <v>-18574</v>
      </c>
      <c r="W136" s="228"/>
      <c r="X136" s="243">
        <v>-21897</v>
      </c>
      <c r="Y136" s="244">
        <v>-21457</v>
      </c>
      <c r="Z136" s="62"/>
      <c r="AA136" s="141">
        <v>-14904</v>
      </c>
      <c r="AD136" s="244">
        <f>VLOOKUP(A136,'Change in Proportion Calc'!$A$5:$H$311,8,FALSE)+SUMIF($C$5:$AB$5,2025,C136:AB136)</f>
        <v>-70570</v>
      </c>
      <c r="AF136" s="243">
        <f t="shared" si="9"/>
        <v>61526</v>
      </c>
      <c r="AG136" s="243">
        <f t="shared" si="10"/>
        <v>220384</v>
      </c>
      <c r="AI136" s="243">
        <f>VLOOKUP(A136,'OPEB Amounts_Report'!$A$10:$G$324,7,FALSE)</f>
        <v>61526</v>
      </c>
      <c r="AJ136" s="244">
        <f t="shared" si="11"/>
        <v>0</v>
      </c>
      <c r="AK136" s="244"/>
      <c r="AL136" s="354">
        <f t="shared" si="12"/>
        <v>7337</v>
      </c>
      <c r="AM136" s="243">
        <f t="shared" si="13"/>
        <v>-55226</v>
      </c>
      <c r="AN136" s="243">
        <f t="shared" si="14"/>
        <v>-33392</v>
      </c>
      <c r="AO136" s="243">
        <f t="shared" si="15"/>
        <v>-15696</v>
      </c>
      <c r="AP136" s="243">
        <f t="shared" si="16"/>
        <v>-24098</v>
      </c>
      <c r="AQ136" s="243">
        <f t="shared" si="17"/>
        <v>-30446</v>
      </c>
    </row>
    <row r="137" spans="1:43">
      <c r="A137" s="59">
        <v>2329</v>
      </c>
      <c r="B137" s="63" t="s">
        <v>126</v>
      </c>
      <c r="C137" s="85">
        <f>_xlfn.XLOOKUP($A137,'Change in Proportion Calc'!$A$5:$A$311,'Change in Proportion Calc'!L$5:L$311,,0,)</f>
        <v>-16847</v>
      </c>
      <c r="D137" s="85">
        <f>_xlfn.XLOOKUP($A137,'Change in Proportion Calc'!$A$5:$A$311,'Change in Proportion Calc'!M$5:M$311,,0,)</f>
        <v>-16847</v>
      </c>
      <c r="E137" s="85">
        <f>_xlfn.XLOOKUP($A137,'Change in Proportion Calc'!$A$5:$A$311,'Change in Proportion Calc'!N$5:N$311,,0,)</f>
        <v>-16847</v>
      </c>
      <c r="F137" s="85">
        <f>_xlfn.XLOOKUP($A137,'Change in Proportion Calc'!$A$5:$A$311,'Change in Proportion Calc'!O$5:O$311,,0,)</f>
        <v>-16847</v>
      </c>
      <c r="G137" s="85">
        <f>_xlfn.XLOOKUP($A137,'Change in Proportion Calc'!$A$5:$A$311,'Change in Proportion Calc'!P$5:P$311,,0,)</f>
        <v>-15668</v>
      </c>
      <c r="H137" s="228"/>
      <c r="I137" s="85">
        <v>-50556</v>
      </c>
      <c r="J137" s="85">
        <v>-50556</v>
      </c>
      <c r="K137" s="85">
        <v>-50556</v>
      </c>
      <c r="L137" s="85">
        <v>-50556</v>
      </c>
      <c r="M137" s="85">
        <v>-43986</v>
      </c>
      <c r="N137" s="85"/>
      <c r="O137" s="85">
        <v>18685</v>
      </c>
      <c r="P137" s="85">
        <v>18685</v>
      </c>
      <c r="Q137" s="85">
        <v>18685</v>
      </c>
      <c r="R137" s="85">
        <v>16629</v>
      </c>
      <c r="S137" s="228"/>
      <c r="T137" s="85">
        <v>11987</v>
      </c>
      <c r="U137" s="85">
        <v>11987</v>
      </c>
      <c r="V137" s="85">
        <v>11745</v>
      </c>
      <c r="W137" s="228"/>
      <c r="X137" s="243">
        <v>-130521</v>
      </c>
      <c r="Y137" s="244">
        <v>-127911</v>
      </c>
      <c r="Z137" s="62"/>
      <c r="AA137" s="141">
        <v>-746</v>
      </c>
      <c r="AD137" s="244">
        <f>VLOOKUP(A137,'Change in Proportion Calc'!$A$5:$H$311,8,FALSE)+SUMIF($C$5:$AB$5,2025,C137:AB137)</f>
        <v>-167998</v>
      </c>
      <c r="AF137" s="243">
        <f t="shared" ref="AF137:AF200" si="18">IF(SUM(C137:G137)&gt;0,SUM(C137:G137))+IF(SUM(J137:M137)&gt;0,SUM(J137:M137),0)+IF(SUM(U137:V137)&gt;0,SUM(U137:V137),0)+IF(SUM(Y137)&gt;0,SUM(Y137),0)+IF(SUM(P137:R137)&gt;0,SUM(P137:R137),0)</f>
        <v>77731</v>
      </c>
      <c r="AG137" s="243">
        <f t="shared" ref="AG137:AG200" si="19">+IF(SUM(C137:G137)&lt;0,-SUM(C137:G137),0)+IF(SUM(J137:M137)&lt;0,-SUM(J137:M137),0)+IF(SUM(U137:V137)&lt;0,-SUM(U137:V137),0)+IF(SUM(Y137)&lt;0,-SUM(Y137),0)+IF(SUM(P137:R137)&lt;0,-SUM(P137:R137),0)</f>
        <v>406621</v>
      </c>
      <c r="AI137" s="243">
        <f>VLOOKUP(A137,'OPEB Amounts_Report'!$A$10:$G$324,7,FALSE)</f>
        <v>77731</v>
      </c>
      <c r="AJ137" s="244">
        <f t="shared" si="11"/>
        <v>0</v>
      </c>
      <c r="AK137" s="244"/>
      <c r="AL137" s="354">
        <f t="shared" ref="AL137:AL200" si="20">+A137</f>
        <v>2329</v>
      </c>
      <c r="AM137" s="243">
        <f t="shared" ref="AM137:AM200" si="21">+SUMIF($C$5:$AB$5,AM$5,C137:AB137)</f>
        <v>-164642</v>
      </c>
      <c r="AN137" s="243">
        <f t="shared" ref="AN137:AN200" si="22">+SUMIF($C$5:$AB$5,AN$5,C137:AB137)</f>
        <v>-36973</v>
      </c>
      <c r="AO137" s="243">
        <f t="shared" ref="AO137:AO200" si="23">+SUMIF($C$5:$AB$5,AO$5,C137:AB137)</f>
        <v>-50774</v>
      </c>
      <c r="AP137" s="243">
        <f t="shared" ref="AP137:AP200" si="24">+SUMIF($C$5:$AB$5,AP$5,C137:AB137)</f>
        <v>-60833</v>
      </c>
      <c r="AQ137" s="243">
        <f t="shared" ref="AQ137:AQ200" si="25">+SUMIF($C$5:$AB$5,AQ$5,C137:AB137)</f>
        <v>-15668</v>
      </c>
    </row>
    <row r="138" spans="1:43">
      <c r="A138" s="61">
        <v>2343</v>
      </c>
      <c r="B138" s="62" t="s">
        <v>127</v>
      </c>
      <c r="C138" s="85">
        <f>_xlfn.XLOOKUP($A138,'Change in Proportion Calc'!$A$5:$A$311,'Change in Proportion Calc'!L$5:L$311,,0,)</f>
        <v>24004</v>
      </c>
      <c r="D138" s="85">
        <f>_xlfn.XLOOKUP($A138,'Change in Proportion Calc'!$A$5:$A$311,'Change in Proportion Calc'!M$5:M$311,,0,)</f>
        <v>24004</v>
      </c>
      <c r="E138" s="85">
        <f>_xlfn.XLOOKUP($A138,'Change in Proportion Calc'!$A$5:$A$311,'Change in Proportion Calc'!N$5:N$311,,0,)</f>
        <v>24004</v>
      </c>
      <c r="F138" s="85">
        <f>_xlfn.XLOOKUP($A138,'Change in Proportion Calc'!$A$5:$A$311,'Change in Proportion Calc'!O$5:O$311,,0,)</f>
        <v>24004</v>
      </c>
      <c r="G138" s="85">
        <f>_xlfn.XLOOKUP($A138,'Change in Proportion Calc'!$A$5:$A$311,'Change in Proportion Calc'!P$5:P$311,,0,)</f>
        <v>22326</v>
      </c>
      <c r="H138" s="228"/>
      <c r="I138" s="85">
        <v>75517</v>
      </c>
      <c r="J138" s="85">
        <v>75517</v>
      </c>
      <c r="K138" s="85">
        <v>75517</v>
      </c>
      <c r="L138" s="85">
        <v>75517</v>
      </c>
      <c r="M138" s="85">
        <v>65702</v>
      </c>
      <c r="N138" s="85"/>
      <c r="O138" s="85">
        <v>-23325</v>
      </c>
      <c r="P138" s="85">
        <v>-23325</v>
      </c>
      <c r="Q138" s="85">
        <v>-23325</v>
      </c>
      <c r="R138" s="85">
        <v>-20757</v>
      </c>
      <c r="S138" s="228"/>
      <c r="T138" s="85">
        <v>23487</v>
      </c>
      <c r="U138" s="85">
        <v>23487</v>
      </c>
      <c r="V138" s="85">
        <v>23017</v>
      </c>
      <c r="W138" s="228"/>
      <c r="X138" s="243">
        <v>-22240</v>
      </c>
      <c r="Y138" s="244">
        <v>-21796</v>
      </c>
      <c r="Z138" s="62"/>
      <c r="AA138" s="141">
        <v>25644</v>
      </c>
      <c r="AD138" s="244">
        <f>VLOOKUP(A138,'Change in Proportion Calc'!$A$5:$H$311,8,FALSE)+SUMIF($C$5:$AB$5,2025,C138:AB138)</f>
        <v>103087</v>
      </c>
      <c r="AF138" s="243">
        <f t="shared" si="18"/>
        <v>457099</v>
      </c>
      <c r="AG138" s="243">
        <f t="shared" si="19"/>
        <v>89203</v>
      </c>
      <c r="AI138" s="243">
        <f>VLOOKUP(A138,'OPEB Amounts_Report'!$A$10:$G$324,7,FALSE)</f>
        <v>457099</v>
      </c>
      <c r="AJ138" s="244">
        <f t="shared" si="11"/>
        <v>0</v>
      </c>
      <c r="AK138" s="244"/>
      <c r="AL138" s="354">
        <f t="shared" si="20"/>
        <v>2343</v>
      </c>
      <c r="AM138" s="243">
        <f t="shared" si="21"/>
        <v>77887</v>
      </c>
      <c r="AN138" s="243">
        <f t="shared" si="22"/>
        <v>99213</v>
      </c>
      <c r="AO138" s="243">
        <f t="shared" si="23"/>
        <v>78764</v>
      </c>
      <c r="AP138" s="243">
        <f t="shared" si="24"/>
        <v>89706</v>
      </c>
      <c r="AQ138" s="243">
        <f t="shared" si="25"/>
        <v>22326</v>
      </c>
    </row>
    <row r="139" spans="1:43">
      <c r="A139" s="61">
        <v>4010</v>
      </c>
      <c r="B139" s="62" t="s">
        <v>129</v>
      </c>
      <c r="C139" s="85">
        <f>_xlfn.XLOOKUP($A139,'Change in Proportion Calc'!$A$5:$A$311,'Change in Proportion Calc'!L$5:L$311,,0,)</f>
        <v>8987</v>
      </c>
      <c r="D139" s="85">
        <f>_xlfn.XLOOKUP($A139,'Change in Proportion Calc'!$A$5:$A$311,'Change in Proportion Calc'!M$5:M$311,,0,)</f>
        <v>8987</v>
      </c>
      <c r="E139" s="85">
        <f>_xlfn.XLOOKUP($A139,'Change in Proportion Calc'!$A$5:$A$311,'Change in Proportion Calc'!N$5:N$311,,0,)</f>
        <v>8987</v>
      </c>
      <c r="F139" s="85">
        <f>_xlfn.XLOOKUP($A139,'Change in Proportion Calc'!$A$5:$A$311,'Change in Proportion Calc'!O$5:O$311,,0,)</f>
        <v>8987</v>
      </c>
      <c r="G139" s="85">
        <f>_xlfn.XLOOKUP($A139,'Change in Proportion Calc'!$A$5:$A$311,'Change in Proportion Calc'!P$5:P$311,,0,)</f>
        <v>8359</v>
      </c>
      <c r="H139" s="228"/>
      <c r="I139" s="85">
        <v>2538</v>
      </c>
      <c r="J139" s="85">
        <v>2538</v>
      </c>
      <c r="K139" s="85">
        <v>2538</v>
      </c>
      <c r="L139" s="85">
        <v>2538</v>
      </c>
      <c r="M139" s="85">
        <v>2210</v>
      </c>
      <c r="N139" s="85"/>
      <c r="O139" s="85">
        <v>19221</v>
      </c>
      <c r="P139" s="85">
        <v>19221</v>
      </c>
      <c r="Q139" s="85">
        <v>19221</v>
      </c>
      <c r="R139" s="85">
        <v>17109</v>
      </c>
      <c r="S139" s="228"/>
      <c r="T139" s="85">
        <v>5183</v>
      </c>
      <c r="U139" s="85">
        <v>5183</v>
      </c>
      <c r="V139" s="85">
        <v>5081</v>
      </c>
      <c r="W139" s="228"/>
      <c r="X139" s="243">
        <v>10304</v>
      </c>
      <c r="Y139" s="244">
        <v>10100</v>
      </c>
      <c r="Z139" s="62"/>
      <c r="AA139" s="141">
        <v>6955</v>
      </c>
      <c r="AD139" s="244">
        <f>VLOOKUP(A139,'Change in Proportion Calc'!$A$5:$H$311,8,FALSE)+SUMIF($C$5:$AB$5,2025,C139:AB139)</f>
        <v>53188</v>
      </c>
      <c r="AF139" s="243">
        <f t="shared" si="18"/>
        <v>130046</v>
      </c>
      <c r="AG139" s="243">
        <f t="shared" si="19"/>
        <v>0</v>
      </c>
      <c r="AI139" s="243">
        <f>VLOOKUP(A139,'OPEB Amounts_Report'!$A$10:$G$324,7,FALSE)</f>
        <v>130046</v>
      </c>
      <c r="AJ139" s="244">
        <f t="shared" ref="AJ139:AJ202" si="26">+AF139-AI139</f>
        <v>0</v>
      </c>
      <c r="AK139" s="244"/>
      <c r="AL139" s="354">
        <f t="shared" si="20"/>
        <v>4010</v>
      </c>
      <c r="AM139" s="243">
        <f t="shared" si="21"/>
        <v>46029</v>
      </c>
      <c r="AN139" s="243">
        <f t="shared" si="22"/>
        <v>35827</v>
      </c>
      <c r="AO139" s="243">
        <f t="shared" si="23"/>
        <v>28634</v>
      </c>
      <c r="AP139" s="243">
        <f t="shared" si="24"/>
        <v>11197</v>
      </c>
      <c r="AQ139" s="243">
        <f t="shared" si="25"/>
        <v>8359</v>
      </c>
    </row>
    <row r="140" spans="1:43">
      <c r="A140" s="59">
        <v>7023</v>
      </c>
      <c r="B140" s="63" t="s">
        <v>130</v>
      </c>
      <c r="C140" s="85">
        <f>_xlfn.XLOOKUP($A140,'Change in Proportion Calc'!$A$5:$A$311,'Change in Proportion Calc'!L$5:L$311,,0,)</f>
        <v>-589245</v>
      </c>
      <c r="D140" s="85">
        <f>_xlfn.XLOOKUP($A140,'Change in Proportion Calc'!$A$5:$A$311,'Change in Proportion Calc'!M$5:M$311,,0,)</f>
        <v>-589245</v>
      </c>
      <c r="E140" s="85">
        <f>_xlfn.XLOOKUP($A140,'Change in Proportion Calc'!$A$5:$A$311,'Change in Proportion Calc'!N$5:N$311,,0,)</f>
        <v>-589245</v>
      </c>
      <c r="F140" s="85">
        <f>_xlfn.XLOOKUP($A140,'Change in Proportion Calc'!$A$5:$A$311,'Change in Proportion Calc'!O$5:O$311,,0,)</f>
        <v>-589245</v>
      </c>
      <c r="G140" s="85">
        <f>_xlfn.XLOOKUP($A140,'Change in Proportion Calc'!$A$5:$A$311,'Change in Proportion Calc'!P$5:P$311,,0,)</f>
        <v>-547998</v>
      </c>
      <c r="H140" s="228"/>
      <c r="I140" s="85">
        <v>1027426</v>
      </c>
      <c r="J140" s="85">
        <v>1027426</v>
      </c>
      <c r="K140" s="85">
        <v>1027426</v>
      </c>
      <c r="L140" s="85">
        <v>1027426</v>
      </c>
      <c r="M140" s="85">
        <v>893860</v>
      </c>
      <c r="N140" s="85"/>
      <c r="O140" s="85">
        <v>647445</v>
      </c>
      <c r="P140" s="85">
        <v>647445</v>
      </c>
      <c r="Q140" s="85">
        <v>647445</v>
      </c>
      <c r="R140" s="85">
        <v>576228</v>
      </c>
      <c r="S140" s="228"/>
      <c r="T140" s="85">
        <v>420173</v>
      </c>
      <c r="U140" s="85">
        <v>420173</v>
      </c>
      <c r="V140" s="85">
        <v>411771</v>
      </c>
      <c r="W140" s="228"/>
      <c r="X140" s="243">
        <v>169248</v>
      </c>
      <c r="Y140" s="244">
        <v>165863</v>
      </c>
      <c r="Z140" s="62"/>
      <c r="AA140" s="141">
        <v>190808</v>
      </c>
      <c r="AD140" s="244">
        <f>VLOOKUP(A140,'Change in Proportion Calc'!$A$5:$H$311,8,FALSE)+SUMIF($C$5:$AB$5,2025,C140:AB140)</f>
        <v>1865855</v>
      </c>
      <c r="AF140" s="243">
        <f t="shared" si="18"/>
        <v>6845063</v>
      </c>
      <c r="AG140" s="243">
        <f t="shared" si="19"/>
        <v>2904978</v>
      </c>
      <c r="AI140" s="243">
        <f>VLOOKUP(A140,'OPEB Amounts_Report'!$A$10:$G$324,7,FALSE)</f>
        <v>6845063</v>
      </c>
      <c r="AJ140" s="244">
        <f t="shared" si="26"/>
        <v>0</v>
      </c>
      <c r="AK140" s="244"/>
      <c r="AL140" s="354">
        <f t="shared" si="20"/>
        <v>7023</v>
      </c>
      <c r="AM140" s="243">
        <f t="shared" si="21"/>
        <v>1671662</v>
      </c>
      <c r="AN140" s="243">
        <f t="shared" si="22"/>
        <v>1497397</v>
      </c>
      <c r="AO140" s="243">
        <f t="shared" si="23"/>
        <v>1014409</v>
      </c>
      <c r="AP140" s="243">
        <f t="shared" si="24"/>
        <v>304615</v>
      </c>
      <c r="AQ140" s="243">
        <f t="shared" si="25"/>
        <v>-547998</v>
      </c>
    </row>
    <row r="141" spans="1:43">
      <c r="A141" s="61">
        <v>7338</v>
      </c>
      <c r="B141" s="62" t="s">
        <v>131</v>
      </c>
      <c r="C141" s="85">
        <f>_xlfn.XLOOKUP($A141,'Change in Proportion Calc'!$A$5:$A$311,'Change in Proportion Calc'!L$5:L$311,,0,)</f>
        <v>3356</v>
      </c>
      <c r="D141" s="85">
        <f>_xlfn.XLOOKUP($A141,'Change in Proportion Calc'!$A$5:$A$311,'Change in Proportion Calc'!M$5:M$311,,0,)</f>
        <v>3356</v>
      </c>
      <c r="E141" s="85">
        <f>_xlfn.XLOOKUP($A141,'Change in Proportion Calc'!$A$5:$A$311,'Change in Proportion Calc'!N$5:N$311,,0,)</f>
        <v>3356</v>
      </c>
      <c r="F141" s="85">
        <f>_xlfn.XLOOKUP($A141,'Change in Proportion Calc'!$A$5:$A$311,'Change in Proportion Calc'!O$5:O$311,,0,)</f>
        <v>3356</v>
      </c>
      <c r="G141" s="85">
        <f>_xlfn.XLOOKUP($A141,'Change in Proportion Calc'!$A$5:$A$311,'Change in Proportion Calc'!P$5:P$311,,0,)</f>
        <v>3122</v>
      </c>
      <c r="H141" s="228"/>
      <c r="I141" s="85">
        <v>-32777</v>
      </c>
      <c r="J141" s="85">
        <v>-32777</v>
      </c>
      <c r="K141" s="85">
        <v>-32777</v>
      </c>
      <c r="L141" s="85">
        <v>-32777</v>
      </c>
      <c r="M141" s="85">
        <v>-28516</v>
      </c>
      <c r="N141" s="85"/>
      <c r="O141" s="85">
        <v>-2678</v>
      </c>
      <c r="P141" s="85">
        <v>-2678</v>
      </c>
      <c r="Q141" s="85">
        <v>-2678</v>
      </c>
      <c r="R141" s="85">
        <v>-2381</v>
      </c>
      <c r="S141" s="228"/>
      <c r="T141" s="85">
        <v>9314</v>
      </c>
      <c r="U141" s="85">
        <v>9314</v>
      </c>
      <c r="V141" s="85">
        <v>9126</v>
      </c>
      <c r="W141" s="228"/>
      <c r="X141" s="243">
        <v>257</v>
      </c>
      <c r="Y141" s="244">
        <v>254</v>
      </c>
      <c r="Z141" s="62"/>
      <c r="AA141" s="141">
        <v>21175</v>
      </c>
      <c r="AD141" s="244">
        <f>VLOOKUP(A141,'Change in Proportion Calc'!$A$5:$H$311,8,FALSE)+SUMIF($C$5:$AB$5,2025,C141:AB141)</f>
        <v>-1353</v>
      </c>
      <c r="AF141" s="243">
        <f t="shared" si="18"/>
        <v>35240</v>
      </c>
      <c r="AG141" s="243">
        <f t="shared" si="19"/>
        <v>134584</v>
      </c>
      <c r="AI141" s="243">
        <f>VLOOKUP(A141,'OPEB Amounts_Report'!$A$10:$G$324,7,FALSE)</f>
        <v>35240</v>
      </c>
      <c r="AJ141" s="244">
        <f t="shared" si="26"/>
        <v>0</v>
      </c>
      <c r="AK141" s="244"/>
      <c r="AL141" s="354">
        <f t="shared" si="20"/>
        <v>7338</v>
      </c>
      <c r="AM141" s="243">
        <f t="shared" si="21"/>
        <v>-22531</v>
      </c>
      <c r="AN141" s="243">
        <f t="shared" si="22"/>
        <v>-22973</v>
      </c>
      <c r="AO141" s="243">
        <f t="shared" si="23"/>
        <v>-31802</v>
      </c>
      <c r="AP141" s="243">
        <f t="shared" si="24"/>
        <v>-25160</v>
      </c>
      <c r="AQ141" s="243">
        <f t="shared" si="25"/>
        <v>3122</v>
      </c>
    </row>
    <row r="142" spans="1:43">
      <c r="A142" s="59">
        <v>12037</v>
      </c>
      <c r="B142" s="63" t="s">
        <v>132</v>
      </c>
      <c r="C142" s="85">
        <f>_xlfn.XLOOKUP($A142,'Change in Proportion Calc'!$A$5:$A$311,'Change in Proportion Calc'!L$5:L$311,,0,)</f>
        <v>-6533</v>
      </c>
      <c r="D142" s="85">
        <f>_xlfn.XLOOKUP($A142,'Change in Proportion Calc'!$A$5:$A$311,'Change in Proportion Calc'!M$5:M$311,,0,)</f>
        <v>-6533</v>
      </c>
      <c r="E142" s="85">
        <f>_xlfn.XLOOKUP($A142,'Change in Proportion Calc'!$A$5:$A$311,'Change in Proportion Calc'!N$5:N$311,,0,)</f>
        <v>-6533</v>
      </c>
      <c r="F142" s="85">
        <f>_xlfn.XLOOKUP($A142,'Change in Proportion Calc'!$A$5:$A$311,'Change in Proportion Calc'!O$5:O$311,,0,)</f>
        <v>-6533</v>
      </c>
      <c r="G142" s="85">
        <f>_xlfn.XLOOKUP($A142,'Change in Proportion Calc'!$A$5:$A$311,'Change in Proportion Calc'!P$5:P$311,,0,)</f>
        <v>-6075</v>
      </c>
      <c r="H142" s="228"/>
      <c r="I142" s="85">
        <v>-17960</v>
      </c>
      <c r="J142" s="85">
        <v>-17960</v>
      </c>
      <c r="K142" s="85">
        <v>-17960</v>
      </c>
      <c r="L142" s="85">
        <v>-17960</v>
      </c>
      <c r="M142" s="85">
        <v>-15623</v>
      </c>
      <c r="N142" s="85"/>
      <c r="O142" s="85">
        <v>-39954</v>
      </c>
      <c r="P142" s="85">
        <v>-39954</v>
      </c>
      <c r="Q142" s="85">
        <v>-39954</v>
      </c>
      <c r="R142" s="85">
        <v>-35560</v>
      </c>
      <c r="S142" s="228"/>
      <c r="T142" s="85">
        <v>-14092</v>
      </c>
      <c r="U142" s="85">
        <v>-14092</v>
      </c>
      <c r="V142" s="85">
        <v>-13811</v>
      </c>
      <c r="W142" s="228"/>
      <c r="X142" s="243">
        <v>19492</v>
      </c>
      <c r="Y142" s="244">
        <v>19104</v>
      </c>
      <c r="Z142" s="62"/>
      <c r="AA142" s="141">
        <v>-137347</v>
      </c>
      <c r="AD142" s="244">
        <f>VLOOKUP(A142,'Change in Proportion Calc'!$A$5:$H$311,8,FALSE)+SUMIF($C$5:$AB$5,2025,C142:AB142)</f>
        <v>-196394</v>
      </c>
      <c r="AF142" s="243">
        <f t="shared" si="18"/>
        <v>19104</v>
      </c>
      <c r="AG142" s="243">
        <f t="shared" si="19"/>
        <v>245081</v>
      </c>
      <c r="AI142" s="243">
        <f>VLOOKUP(A142,'OPEB Amounts_Report'!$A$10:$G$324,7,FALSE)</f>
        <v>19104</v>
      </c>
      <c r="AJ142" s="244">
        <f t="shared" si="26"/>
        <v>0</v>
      </c>
      <c r="AK142" s="244"/>
      <c r="AL142" s="354">
        <f t="shared" si="20"/>
        <v>12037</v>
      </c>
      <c r="AM142" s="243">
        <f t="shared" si="21"/>
        <v>-59435</v>
      </c>
      <c r="AN142" s="243">
        <f t="shared" si="22"/>
        <v>-78258</v>
      </c>
      <c r="AO142" s="243">
        <f t="shared" si="23"/>
        <v>-60053</v>
      </c>
      <c r="AP142" s="243">
        <f t="shared" si="24"/>
        <v>-22156</v>
      </c>
      <c r="AQ142" s="243">
        <f t="shared" si="25"/>
        <v>-6075</v>
      </c>
    </row>
    <row r="143" spans="1:43">
      <c r="A143" s="61">
        <v>3150</v>
      </c>
      <c r="B143" s="62" t="s">
        <v>133</v>
      </c>
      <c r="C143" s="85">
        <f>_xlfn.XLOOKUP($A143,'Change in Proportion Calc'!$A$5:$A$311,'Change in Proportion Calc'!L$5:L$311,,0,)</f>
        <v>219154</v>
      </c>
      <c r="D143" s="85">
        <f>_xlfn.XLOOKUP($A143,'Change in Proportion Calc'!$A$5:$A$311,'Change in Proportion Calc'!M$5:M$311,,0,)</f>
        <v>219154</v>
      </c>
      <c r="E143" s="85">
        <f>_xlfn.XLOOKUP($A143,'Change in Proportion Calc'!$A$5:$A$311,'Change in Proportion Calc'!N$5:N$311,,0,)</f>
        <v>219154</v>
      </c>
      <c r="F143" s="85">
        <f>_xlfn.XLOOKUP($A143,'Change in Proportion Calc'!$A$5:$A$311,'Change in Proportion Calc'!O$5:O$311,,0,)</f>
        <v>219154</v>
      </c>
      <c r="G143" s="85">
        <f>_xlfn.XLOOKUP($A143,'Change in Proportion Calc'!$A$5:$A$311,'Change in Proportion Calc'!P$5:P$311,,0,)</f>
        <v>203815</v>
      </c>
      <c r="H143" s="228"/>
      <c r="I143" s="85">
        <v>-185811</v>
      </c>
      <c r="J143" s="85">
        <v>-185811</v>
      </c>
      <c r="K143" s="85">
        <v>-185811</v>
      </c>
      <c r="L143" s="85">
        <v>-185811</v>
      </c>
      <c r="M143" s="85">
        <v>-161658</v>
      </c>
      <c r="N143" s="85"/>
      <c r="O143" s="85">
        <v>358926</v>
      </c>
      <c r="P143" s="85">
        <v>358926</v>
      </c>
      <c r="Q143" s="85">
        <v>358926</v>
      </c>
      <c r="R143" s="85">
        <v>319444</v>
      </c>
      <c r="S143" s="228"/>
      <c r="T143" s="85">
        <v>-65115</v>
      </c>
      <c r="U143" s="85">
        <v>-65115</v>
      </c>
      <c r="V143" s="85">
        <v>-63815</v>
      </c>
      <c r="W143" s="228"/>
      <c r="X143" s="243">
        <v>-203424</v>
      </c>
      <c r="Y143" s="244">
        <v>-199355</v>
      </c>
      <c r="Z143" s="62"/>
      <c r="AA143" s="141">
        <v>300277</v>
      </c>
      <c r="AD143" s="244">
        <f>VLOOKUP(A143,'Change in Proportion Calc'!$A$5:$H$311,8,FALSE)+SUMIF($C$5:$AB$5,2025,C143:AB143)</f>
        <v>424007</v>
      </c>
      <c r="AF143" s="243">
        <f t="shared" si="18"/>
        <v>2117727</v>
      </c>
      <c r="AG143" s="243">
        <f t="shared" si="19"/>
        <v>1047376</v>
      </c>
      <c r="AI143" s="243">
        <f>VLOOKUP(A143,'OPEB Amounts_Report'!$A$10:$G$324,7,FALSE)</f>
        <v>2117727</v>
      </c>
      <c r="AJ143" s="244">
        <f t="shared" si="26"/>
        <v>0</v>
      </c>
      <c r="AK143" s="244"/>
      <c r="AL143" s="354">
        <f t="shared" si="20"/>
        <v>3150</v>
      </c>
      <c r="AM143" s="243">
        <f t="shared" si="21"/>
        <v>127799</v>
      </c>
      <c r="AN143" s="243">
        <f t="shared" si="22"/>
        <v>328454</v>
      </c>
      <c r="AO143" s="243">
        <f t="shared" si="23"/>
        <v>352787</v>
      </c>
      <c r="AP143" s="243">
        <f t="shared" si="24"/>
        <v>57496</v>
      </c>
      <c r="AQ143" s="243">
        <f t="shared" si="25"/>
        <v>203815</v>
      </c>
    </row>
    <row r="144" spans="1:43">
      <c r="A144" s="59">
        <v>3160</v>
      </c>
      <c r="B144" s="63" t="s">
        <v>134</v>
      </c>
      <c r="C144" s="85">
        <f>_xlfn.XLOOKUP($A144,'Change in Proportion Calc'!$A$5:$A$311,'Change in Proportion Calc'!L$5:L$311,,0,)</f>
        <v>9260</v>
      </c>
      <c r="D144" s="85">
        <f>_xlfn.XLOOKUP($A144,'Change in Proportion Calc'!$A$5:$A$311,'Change in Proportion Calc'!M$5:M$311,,0,)</f>
        <v>9260</v>
      </c>
      <c r="E144" s="85">
        <f>_xlfn.XLOOKUP($A144,'Change in Proportion Calc'!$A$5:$A$311,'Change in Proportion Calc'!N$5:N$311,,0,)</f>
        <v>9260</v>
      </c>
      <c r="F144" s="85">
        <f>_xlfn.XLOOKUP($A144,'Change in Proportion Calc'!$A$5:$A$311,'Change in Proportion Calc'!O$5:O$311,,0,)</f>
        <v>9260</v>
      </c>
      <c r="G144" s="85">
        <f>_xlfn.XLOOKUP($A144,'Change in Proportion Calc'!$A$5:$A$311,'Change in Proportion Calc'!P$5:P$311,,0,)</f>
        <v>8609</v>
      </c>
      <c r="H144" s="228"/>
      <c r="I144" s="85">
        <v>-49561</v>
      </c>
      <c r="J144" s="85">
        <v>-49561</v>
      </c>
      <c r="K144" s="85">
        <v>-49561</v>
      </c>
      <c r="L144" s="85">
        <v>-49561</v>
      </c>
      <c r="M144" s="85">
        <v>-43120</v>
      </c>
      <c r="N144" s="85"/>
      <c r="O144" s="85">
        <v>29462</v>
      </c>
      <c r="P144" s="85">
        <v>29462</v>
      </c>
      <c r="Q144" s="85">
        <v>29462</v>
      </c>
      <c r="R144" s="85">
        <v>26222</v>
      </c>
      <c r="S144" s="228"/>
      <c r="T144" s="85">
        <v>-6155</v>
      </c>
      <c r="U144" s="85">
        <v>-6155</v>
      </c>
      <c r="V144" s="85">
        <v>-6033</v>
      </c>
      <c r="W144" s="228"/>
      <c r="X144" s="243">
        <v>-75737</v>
      </c>
      <c r="Y144" s="244">
        <v>-74220</v>
      </c>
      <c r="Z144" s="62"/>
      <c r="AA144" s="141">
        <v>21175</v>
      </c>
      <c r="AD144" s="244">
        <f>VLOOKUP(A144,'Change in Proportion Calc'!$A$5:$H$311,8,FALSE)+SUMIF($C$5:$AB$5,2025,C144:AB144)</f>
        <v>-71556</v>
      </c>
      <c r="AF144" s="243">
        <f t="shared" si="18"/>
        <v>130795</v>
      </c>
      <c r="AG144" s="243">
        <f t="shared" si="19"/>
        <v>278211</v>
      </c>
      <c r="AI144" s="243">
        <f>VLOOKUP(A144,'OPEB Amounts_Report'!$A$10:$G$324,7,FALSE)</f>
        <v>130795</v>
      </c>
      <c r="AJ144" s="244">
        <f t="shared" si="26"/>
        <v>0</v>
      </c>
      <c r="AK144" s="244"/>
      <c r="AL144" s="354">
        <f t="shared" si="20"/>
        <v>3160</v>
      </c>
      <c r="AM144" s="243">
        <f t="shared" si="21"/>
        <v>-91214</v>
      </c>
      <c r="AN144" s="243">
        <f t="shared" si="22"/>
        <v>-16872</v>
      </c>
      <c r="AO144" s="243">
        <f t="shared" si="23"/>
        <v>-14079</v>
      </c>
      <c r="AP144" s="243">
        <f t="shared" si="24"/>
        <v>-33860</v>
      </c>
      <c r="AQ144" s="243">
        <f t="shared" si="25"/>
        <v>8609</v>
      </c>
    </row>
    <row r="145" spans="1:43">
      <c r="A145" s="59">
        <v>10120</v>
      </c>
      <c r="B145" s="63" t="s">
        <v>135</v>
      </c>
      <c r="C145" s="85">
        <f>_xlfn.XLOOKUP($A145,'Change in Proportion Calc'!$A$5:$A$311,'Change in Proportion Calc'!L$5:L$311,,0,)</f>
        <v>-7805</v>
      </c>
      <c r="D145" s="85">
        <f>_xlfn.XLOOKUP($A145,'Change in Proportion Calc'!$A$5:$A$311,'Change in Proportion Calc'!M$5:M$311,,0,)</f>
        <v>-7805</v>
      </c>
      <c r="E145" s="85">
        <f>_xlfn.XLOOKUP($A145,'Change in Proportion Calc'!$A$5:$A$311,'Change in Proportion Calc'!N$5:N$311,,0,)</f>
        <v>-7805</v>
      </c>
      <c r="F145" s="85">
        <f>_xlfn.XLOOKUP($A145,'Change in Proportion Calc'!$A$5:$A$311,'Change in Proportion Calc'!O$5:O$311,,0,)</f>
        <v>-7805</v>
      </c>
      <c r="G145" s="85">
        <f>_xlfn.XLOOKUP($A145,'Change in Proportion Calc'!$A$5:$A$311,'Change in Proportion Calc'!P$5:P$311,,0,)</f>
        <v>-7256</v>
      </c>
      <c r="H145" s="228"/>
      <c r="I145" s="85">
        <v>-13376</v>
      </c>
      <c r="J145" s="85">
        <v>-13376</v>
      </c>
      <c r="K145" s="85">
        <v>-13376</v>
      </c>
      <c r="L145" s="85">
        <v>-13376</v>
      </c>
      <c r="M145" s="85">
        <v>-11635</v>
      </c>
      <c r="N145" s="85"/>
      <c r="O145" s="85">
        <v>14352</v>
      </c>
      <c r="P145" s="85">
        <v>14352</v>
      </c>
      <c r="Q145" s="85">
        <v>14352</v>
      </c>
      <c r="R145" s="85">
        <v>12775</v>
      </c>
      <c r="S145" s="228"/>
      <c r="T145" s="85">
        <v>648</v>
      </c>
      <c r="U145" s="85">
        <v>648</v>
      </c>
      <c r="V145" s="85">
        <v>635</v>
      </c>
      <c r="W145" s="228"/>
      <c r="X145" s="243">
        <v>-10991</v>
      </c>
      <c r="Y145" s="244">
        <v>-10773</v>
      </c>
      <c r="Z145" s="62"/>
      <c r="AA145" s="141">
        <v>-11175</v>
      </c>
      <c r="AD145" s="244">
        <f>VLOOKUP(A145,'Change in Proportion Calc'!$A$5:$H$311,8,FALSE)+SUMIF($C$5:$AB$5,2025,C145:AB145)</f>
        <v>-28347</v>
      </c>
      <c r="AF145" s="243">
        <f t="shared" si="18"/>
        <v>42762</v>
      </c>
      <c r="AG145" s="243">
        <f t="shared" si="19"/>
        <v>101012</v>
      </c>
      <c r="AI145" s="243">
        <f>VLOOKUP(A145,'OPEB Amounts_Report'!$A$10:$G$324,7,FALSE)</f>
        <v>42762</v>
      </c>
      <c r="AJ145" s="244">
        <f t="shared" si="26"/>
        <v>0</v>
      </c>
      <c r="AK145" s="244"/>
      <c r="AL145" s="354">
        <f t="shared" si="20"/>
        <v>10120</v>
      </c>
      <c r="AM145" s="243">
        <f t="shared" si="21"/>
        <v>-16954</v>
      </c>
      <c r="AN145" s="243">
        <f t="shared" si="22"/>
        <v>-6194</v>
      </c>
      <c r="AO145" s="243">
        <f t="shared" si="23"/>
        <v>-8406</v>
      </c>
      <c r="AP145" s="243">
        <f t="shared" si="24"/>
        <v>-19440</v>
      </c>
      <c r="AQ145" s="243">
        <f t="shared" si="25"/>
        <v>-7256</v>
      </c>
    </row>
    <row r="146" spans="1:43">
      <c r="A146" s="61">
        <v>23070</v>
      </c>
      <c r="B146" s="62" t="s">
        <v>136</v>
      </c>
      <c r="C146" s="85">
        <f>_xlfn.XLOOKUP($A146,'Change in Proportion Calc'!$A$5:$A$311,'Change in Proportion Calc'!L$5:L$311,,0,)</f>
        <v>-18648</v>
      </c>
      <c r="D146" s="85">
        <f>_xlfn.XLOOKUP($A146,'Change in Proportion Calc'!$A$5:$A$311,'Change in Proportion Calc'!M$5:M$311,,0,)</f>
        <v>-18648</v>
      </c>
      <c r="E146" s="85">
        <f>_xlfn.XLOOKUP($A146,'Change in Proportion Calc'!$A$5:$A$311,'Change in Proportion Calc'!N$5:N$311,,0,)</f>
        <v>-18648</v>
      </c>
      <c r="F146" s="85">
        <f>_xlfn.XLOOKUP($A146,'Change in Proportion Calc'!$A$5:$A$311,'Change in Proportion Calc'!O$5:O$311,,0,)</f>
        <v>-18648</v>
      </c>
      <c r="G146" s="85">
        <f>_xlfn.XLOOKUP($A146,'Change in Proportion Calc'!$A$5:$A$311,'Change in Proportion Calc'!P$5:P$311,,0,)</f>
        <v>-17341</v>
      </c>
      <c r="H146" s="228"/>
      <c r="I146" s="85">
        <v>-53060</v>
      </c>
      <c r="J146" s="85">
        <v>-53060</v>
      </c>
      <c r="K146" s="85">
        <v>-53060</v>
      </c>
      <c r="L146" s="85">
        <v>-53060</v>
      </c>
      <c r="M146" s="85">
        <v>-46164</v>
      </c>
      <c r="N146" s="85"/>
      <c r="O146" s="85">
        <v>1123</v>
      </c>
      <c r="P146" s="85">
        <v>1123</v>
      </c>
      <c r="Q146" s="85">
        <v>1123</v>
      </c>
      <c r="R146" s="85">
        <v>999</v>
      </c>
      <c r="S146" s="228"/>
      <c r="T146" s="85">
        <v>-3158</v>
      </c>
      <c r="U146" s="85">
        <v>-3158</v>
      </c>
      <c r="V146" s="85">
        <v>-3097</v>
      </c>
      <c r="W146" s="228"/>
      <c r="X146" s="243">
        <v>20780</v>
      </c>
      <c r="Y146" s="244">
        <v>20366</v>
      </c>
      <c r="Z146" s="62"/>
      <c r="AA146" s="141">
        <v>21793</v>
      </c>
      <c r="AD146" s="244">
        <f>VLOOKUP(A146,'Change in Proportion Calc'!$A$5:$H$311,8,FALSE)+SUMIF($C$5:$AB$5,2025,C146:AB146)</f>
        <v>-31170</v>
      </c>
      <c r="AF146" s="243">
        <f t="shared" si="18"/>
        <v>23611</v>
      </c>
      <c r="AG146" s="243">
        <f t="shared" si="19"/>
        <v>303532</v>
      </c>
      <c r="AI146" s="243">
        <f>VLOOKUP(A146,'OPEB Amounts_Report'!$A$10:$G$324,7,FALSE)</f>
        <v>23611</v>
      </c>
      <c r="AJ146" s="244">
        <f t="shared" si="26"/>
        <v>0</v>
      </c>
      <c r="AK146" s="244"/>
      <c r="AL146" s="354">
        <f t="shared" si="20"/>
        <v>23070</v>
      </c>
      <c r="AM146" s="243">
        <f t="shared" si="21"/>
        <v>-53377</v>
      </c>
      <c r="AN146" s="243">
        <f t="shared" si="22"/>
        <v>-73682</v>
      </c>
      <c r="AO146" s="243">
        <f t="shared" si="23"/>
        <v>-70709</v>
      </c>
      <c r="AP146" s="243">
        <f t="shared" si="24"/>
        <v>-64812</v>
      </c>
      <c r="AQ146" s="243">
        <f t="shared" si="25"/>
        <v>-17341</v>
      </c>
    </row>
    <row r="147" spans="1:43">
      <c r="A147" s="59">
        <v>3170</v>
      </c>
      <c r="B147" s="63" t="s">
        <v>137</v>
      </c>
      <c r="C147" s="85">
        <f>_xlfn.XLOOKUP($A147,'Change in Proportion Calc'!$A$5:$A$311,'Change in Proportion Calc'!L$5:L$311,,0,)</f>
        <v>468038</v>
      </c>
      <c r="D147" s="85">
        <f>_xlfn.XLOOKUP($A147,'Change in Proportion Calc'!$A$5:$A$311,'Change in Proportion Calc'!M$5:M$311,,0,)</f>
        <v>468038</v>
      </c>
      <c r="E147" s="85">
        <f>_xlfn.XLOOKUP($A147,'Change in Proportion Calc'!$A$5:$A$311,'Change in Proportion Calc'!N$5:N$311,,0,)</f>
        <v>468038</v>
      </c>
      <c r="F147" s="85">
        <f>_xlfn.XLOOKUP($A147,'Change in Proportion Calc'!$A$5:$A$311,'Change in Proportion Calc'!O$5:O$311,,0,)</f>
        <v>468038</v>
      </c>
      <c r="G147" s="85">
        <f>_xlfn.XLOOKUP($A147,'Change in Proportion Calc'!$A$5:$A$311,'Change in Proportion Calc'!P$5:P$311,,0,)</f>
        <v>435275</v>
      </c>
      <c r="H147" s="228"/>
      <c r="I147" s="85">
        <v>-41276</v>
      </c>
      <c r="J147" s="85">
        <v>-41276</v>
      </c>
      <c r="K147" s="85">
        <v>-41276</v>
      </c>
      <c r="L147" s="85">
        <v>-41276</v>
      </c>
      <c r="M147" s="85">
        <v>-35908</v>
      </c>
      <c r="N147" s="85"/>
      <c r="O147" s="85">
        <v>-197883</v>
      </c>
      <c r="P147" s="85">
        <v>-197883</v>
      </c>
      <c r="Q147" s="85">
        <v>-197883</v>
      </c>
      <c r="R147" s="85">
        <v>-176118</v>
      </c>
      <c r="S147" s="228"/>
      <c r="T147" s="85">
        <v>297717</v>
      </c>
      <c r="U147" s="85">
        <v>297717</v>
      </c>
      <c r="V147" s="85">
        <v>291764</v>
      </c>
      <c r="W147" s="228"/>
      <c r="X147" s="243">
        <v>-493833</v>
      </c>
      <c r="Y147" s="244">
        <v>-483957</v>
      </c>
      <c r="Z147" s="62"/>
      <c r="AA147" s="141">
        <v>-398758</v>
      </c>
      <c r="AD147" s="244">
        <f>VLOOKUP(A147,'Change in Proportion Calc'!$A$5:$H$311,8,FALSE)+SUMIF($C$5:$AB$5,2025,C147:AB147)</f>
        <v>-365995</v>
      </c>
      <c r="AF147" s="243">
        <f t="shared" si="18"/>
        <v>2896908</v>
      </c>
      <c r="AG147" s="243">
        <f t="shared" si="19"/>
        <v>1215577</v>
      </c>
      <c r="AI147" s="243">
        <f>VLOOKUP(A147,'OPEB Amounts_Report'!$A$10:$G$324,7,FALSE)</f>
        <v>2896908</v>
      </c>
      <c r="AJ147" s="244">
        <f t="shared" si="26"/>
        <v>0</v>
      </c>
      <c r="AK147" s="244"/>
      <c r="AL147" s="354">
        <f t="shared" si="20"/>
        <v>3170</v>
      </c>
      <c r="AM147" s="243">
        <f t="shared" si="21"/>
        <v>42639</v>
      </c>
      <c r="AN147" s="243">
        <f t="shared" si="22"/>
        <v>520643</v>
      </c>
      <c r="AO147" s="243">
        <f t="shared" si="23"/>
        <v>250644</v>
      </c>
      <c r="AP147" s="243">
        <f t="shared" si="24"/>
        <v>432130</v>
      </c>
      <c r="AQ147" s="243">
        <f t="shared" si="25"/>
        <v>435275</v>
      </c>
    </row>
    <row r="148" spans="1:43">
      <c r="A148" s="61">
        <v>32093</v>
      </c>
      <c r="B148" s="62" t="s">
        <v>138</v>
      </c>
      <c r="C148" s="85">
        <f>_xlfn.XLOOKUP($A148,'Change in Proportion Calc'!$A$5:$A$311,'Change in Proportion Calc'!L$5:L$311,,0,)</f>
        <v>3897</v>
      </c>
      <c r="D148" s="85">
        <f>_xlfn.XLOOKUP($A148,'Change in Proportion Calc'!$A$5:$A$311,'Change in Proportion Calc'!M$5:M$311,,0,)</f>
        <v>3897</v>
      </c>
      <c r="E148" s="85">
        <f>_xlfn.XLOOKUP($A148,'Change in Proportion Calc'!$A$5:$A$311,'Change in Proportion Calc'!N$5:N$311,,0,)</f>
        <v>3897</v>
      </c>
      <c r="F148" s="85">
        <f>_xlfn.XLOOKUP($A148,'Change in Proportion Calc'!$A$5:$A$311,'Change in Proportion Calc'!O$5:O$311,,0,)</f>
        <v>3897</v>
      </c>
      <c r="G148" s="85">
        <f>_xlfn.XLOOKUP($A148,'Change in Proportion Calc'!$A$5:$A$311,'Change in Proportion Calc'!P$5:P$311,,0,)</f>
        <v>3625</v>
      </c>
      <c r="H148" s="228"/>
      <c r="I148" s="85">
        <v>35599</v>
      </c>
      <c r="J148" s="85">
        <v>35599</v>
      </c>
      <c r="K148" s="85">
        <v>35599</v>
      </c>
      <c r="L148" s="85">
        <v>35599</v>
      </c>
      <c r="M148" s="85">
        <v>30969</v>
      </c>
      <c r="N148" s="85"/>
      <c r="O148" s="85">
        <v>-45353</v>
      </c>
      <c r="P148" s="85">
        <v>-45353</v>
      </c>
      <c r="Q148" s="85">
        <v>-45353</v>
      </c>
      <c r="R148" s="85">
        <v>-40362</v>
      </c>
      <c r="S148" s="228"/>
      <c r="T148" s="85">
        <v>93786</v>
      </c>
      <c r="U148" s="85">
        <v>93786</v>
      </c>
      <c r="V148" s="85">
        <v>91909</v>
      </c>
      <c r="W148" s="228"/>
      <c r="X148" s="243">
        <v>26791</v>
      </c>
      <c r="Y148" s="244">
        <v>26256</v>
      </c>
      <c r="Z148" s="62"/>
      <c r="AA148" s="141">
        <v>158772</v>
      </c>
      <c r="AD148" s="244">
        <f>VLOOKUP(A148,'Change in Proportion Calc'!$A$5:$H$311,8,FALSE)+SUMIF($C$5:$AB$5,2025,C148:AB148)</f>
        <v>273492</v>
      </c>
      <c r="AF148" s="243">
        <f t="shared" si="18"/>
        <v>368930</v>
      </c>
      <c r="AG148" s="243">
        <f t="shared" si="19"/>
        <v>131068</v>
      </c>
      <c r="AI148" s="243">
        <f>VLOOKUP(A148,'OPEB Amounts_Report'!$A$10:$G$324,7,FALSE)</f>
        <v>368930</v>
      </c>
      <c r="AJ148" s="244">
        <f t="shared" si="26"/>
        <v>0</v>
      </c>
      <c r="AK148" s="244"/>
      <c r="AL148" s="354">
        <f t="shared" si="20"/>
        <v>32093</v>
      </c>
      <c r="AM148" s="243">
        <f t="shared" si="21"/>
        <v>114185</v>
      </c>
      <c r="AN148" s="243">
        <f t="shared" si="22"/>
        <v>86052</v>
      </c>
      <c r="AO148" s="243">
        <f t="shared" si="23"/>
        <v>-866</v>
      </c>
      <c r="AP148" s="243">
        <f t="shared" si="24"/>
        <v>34866</v>
      </c>
      <c r="AQ148" s="243">
        <f t="shared" si="25"/>
        <v>3625</v>
      </c>
    </row>
    <row r="149" spans="1:43">
      <c r="A149" s="59">
        <v>14045</v>
      </c>
      <c r="B149" s="63" t="s">
        <v>139</v>
      </c>
      <c r="C149" s="85">
        <f>_xlfn.XLOOKUP($A149,'Change in Proportion Calc'!$A$5:$A$311,'Change in Proportion Calc'!L$5:L$311,,0,)</f>
        <v>-2872</v>
      </c>
      <c r="D149" s="85">
        <f>_xlfn.XLOOKUP($A149,'Change in Proportion Calc'!$A$5:$A$311,'Change in Proportion Calc'!M$5:M$311,,0,)</f>
        <v>-2872</v>
      </c>
      <c r="E149" s="85">
        <f>_xlfn.XLOOKUP($A149,'Change in Proportion Calc'!$A$5:$A$311,'Change in Proportion Calc'!N$5:N$311,,0,)</f>
        <v>-2872</v>
      </c>
      <c r="F149" s="85">
        <f>_xlfn.XLOOKUP($A149,'Change in Proportion Calc'!$A$5:$A$311,'Change in Proportion Calc'!O$5:O$311,,0,)</f>
        <v>-2872</v>
      </c>
      <c r="G149" s="85">
        <f>_xlfn.XLOOKUP($A149,'Change in Proportion Calc'!$A$5:$A$311,'Change in Proportion Calc'!P$5:P$311,,0,)</f>
        <v>-2669</v>
      </c>
      <c r="H149" s="228"/>
      <c r="I149" s="85">
        <v>654395</v>
      </c>
      <c r="J149" s="85">
        <v>654395</v>
      </c>
      <c r="K149" s="85">
        <v>654395</v>
      </c>
      <c r="L149" s="85">
        <v>654395</v>
      </c>
      <c r="M149" s="85">
        <v>569326</v>
      </c>
      <c r="N149" s="85"/>
      <c r="O149" s="85">
        <v>-25702</v>
      </c>
      <c r="P149" s="85">
        <v>-25702</v>
      </c>
      <c r="Q149" s="85">
        <v>-25702</v>
      </c>
      <c r="R149" s="85">
        <v>-22875</v>
      </c>
      <c r="S149" s="228"/>
      <c r="T149" s="85">
        <v>10610</v>
      </c>
      <c r="U149" s="85">
        <v>10610</v>
      </c>
      <c r="V149" s="85">
        <v>10396</v>
      </c>
      <c r="W149" s="228"/>
      <c r="X149" s="243">
        <v>230644</v>
      </c>
      <c r="Y149" s="244">
        <v>226033</v>
      </c>
      <c r="Z149" s="62"/>
      <c r="AA149" s="141">
        <v>207390</v>
      </c>
      <c r="AD149" s="244">
        <f>VLOOKUP(A149,'Change in Proportion Calc'!$A$5:$H$311,8,FALSE)+SUMIF($C$5:$AB$5,2025,C149:AB149)</f>
        <v>1074465</v>
      </c>
      <c r="AF149" s="243">
        <f t="shared" si="18"/>
        <v>2779550</v>
      </c>
      <c r="AG149" s="243">
        <f t="shared" si="19"/>
        <v>88436</v>
      </c>
      <c r="AI149" s="243">
        <f>VLOOKUP(A149,'OPEB Amounts_Report'!$A$10:$G$324,7,FALSE)</f>
        <v>2779550</v>
      </c>
      <c r="AJ149" s="244">
        <f t="shared" si="26"/>
        <v>0</v>
      </c>
      <c r="AK149" s="244"/>
      <c r="AL149" s="354">
        <f t="shared" si="20"/>
        <v>14045</v>
      </c>
      <c r="AM149" s="243">
        <f t="shared" si="21"/>
        <v>862464</v>
      </c>
      <c r="AN149" s="243">
        <f t="shared" si="22"/>
        <v>636217</v>
      </c>
      <c r="AO149" s="243">
        <f t="shared" si="23"/>
        <v>628648</v>
      </c>
      <c r="AP149" s="243">
        <f t="shared" si="24"/>
        <v>566454</v>
      </c>
      <c r="AQ149" s="243">
        <f t="shared" si="25"/>
        <v>-2669</v>
      </c>
    </row>
    <row r="150" spans="1:43">
      <c r="A150" s="61">
        <v>2322</v>
      </c>
      <c r="B150" s="62" t="s">
        <v>140</v>
      </c>
      <c r="C150" s="85">
        <f>_xlfn.XLOOKUP($A150,'Change in Proportion Calc'!$A$5:$A$311,'Change in Proportion Calc'!L$5:L$311,,0,)</f>
        <v>-39695</v>
      </c>
      <c r="D150" s="85">
        <f>_xlfn.XLOOKUP($A150,'Change in Proportion Calc'!$A$5:$A$311,'Change in Proportion Calc'!M$5:M$311,,0,)</f>
        <v>-39695</v>
      </c>
      <c r="E150" s="85">
        <f>_xlfn.XLOOKUP($A150,'Change in Proportion Calc'!$A$5:$A$311,'Change in Proportion Calc'!N$5:N$311,,0,)</f>
        <v>-39695</v>
      </c>
      <c r="F150" s="85">
        <f>_xlfn.XLOOKUP($A150,'Change in Proportion Calc'!$A$5:$A$311,'Change in Proportion Calc'!O$5:O$311,,0,)</f>
        <v>-39695</v>
      </c>
      <c r="G150" s="85">
        <f>_xlfn.XLOOKUP($A150,'Change in Proportion Calc'!$A$5:$A$311,'Change in Proportion Calc'!P$5:P$311,,0,)</f>
        <v>-36915</v>
      </c>
      <c r="H150" s="228"/>
      <c r="I150" s="85">
        <v>-971</v>
      </c>
      <c r="J150" s="85">
        <v>-971</v>
      </c>
      <c r="K150" s="85">
        <v>-971</v>
      </c>
      <c r="L150" s="85">
        <v>-971</v>
      </c>
      <c r="M150" s="85">
        <v>-844</v>
      </c>
      <c r="N150" s="85"/>
      <c r="O150" s="85">
        <v>29179</v>
      </c>
      <c r="P150" s="85">
        <v>29179</v>
      </c>
      <c r="Q150" s="85">
        <v>29179</v>
      </c>
      <c r="R150" s="85">
        <v>25969</v>
      </c>
      <c r="S150" s="228"/>
      <c r="T150" s="85">
        <v>-7046</v>
      </c>
      <c r="U150" s="85">
        <v>-7046</v>
      </c>
      <c r="V150" s="85">
        <v>-6906</v>
      </c>
      <c r="W150" s="228"/>
      <c r="X150" s="243">
        <v>-30312</v>
      </c>
      <c r="Y150" s="244">
        <v>-29704</v>
      </c>
      <c r="Z150" s="62"/>
      <c r="AA150" s="141">
        <v>7822</v>
      </c>
      <c r="AD150" s="244">
        <f>VLOOKUP(A150,'Change in Proportion Calc'!$A$5:$H$311,8,FALSE)+SUMIF($C$5:$AB$5,2025,C150:AB150)</f>
        <v>-41023</v>
      </c>
      <c r="AF150" s="243">
        <f t="shared" si="18"/>
        <v>84327</v>
      </c>
      <c r="AG150" s="243">
        <f t="shared" si="19"/>
        <v>243108</v>
      </c>
      <c r="AI150" s="243">
        <f>VLOOKUP(A150,'OPEB Amounts_Report'!$A$10:$G$324,7,FALSE)</f>
        <v>84327</v>
      </c>
      <c r="AJ150" s="244">
        <f t="shared" si="26"/>
        <v>0</v>
      </c>
      <c r="AK150" s="244"/>
      <c r="AL150" s="354">
        <f t="shared" si="20"/>
        <v>2322</v>
      </c>
      <c r="AM150" s="243">
        <f t="shared" si="21"/>
        <v>-48237</v>
      </c>
      <c r="AN150" s="243">
        <f t="shared" si="22"/>
        <v>-18393</v>
      </c>
      <c r="AO150" s="243">
        <f t="shared" si="23"/>
        <v>-14697</v>
      </c>
      <c r="AP150" s="243">
        <f t="shared" si="24"/>
        <v>-40539</v>
      </c>
      <c r="AQ150" s="243">
        <f t="shared" si="25"/>
        <v>-36915</v>
      </c>
    </row>
    <row r="151" spans="1:43">
      <c r="A151" s="59">
        <v>3006</v>
      </c>
      <c r="B151" s="63" t="s">
        <v>141</v>
      </c>
      <c r="C151" s="85">
        <f>_xlfn.XLOOKUP($A151,'Change in Proportion Calc'!$A$5:$A$311,'Change in Proportion Calc'!L$5:L$311,,0,)</f>
        <v>-11093</v>
      </c>
      <c r="D151" s="85">
        <f>_xlfn.XLOOKUP($A151,'Change in Proportion Calc'!$A$5:$A$311,'Change in Proportion Calc'!M$5:M$311,,0,)</f>
        <v>-11093</v>
      </c>
      <c r="E151" s="85">
        <f>_xlfn.XLOOKUP($A151,'Change in Proportion Calc'!$A$5:$A$311,'Change in Proportion Calc'!N$5:N$311,,0,)</f>
        <v>-11093</v>
      </c>
      <c r="F151" s="85">
        <f>_xlfn.XLOOKUP($A151,'Change in Proportion Calc'!$A$5:$A$311,'Change in Proportion Calc'!O$5:O$311,,0,)</f>
        <v>-11093</v>
      </c>
      <c r="G151" s="85">
        <f>_xlfn.XLOOKUP($A151,'Change in Proportion Calc'!$A$5:$A$311,'Change in Proportion Calc'!P$5:P$311,,0,)</f>
        <v>-10314</v>
      </c>
      <c r="H151" s="228"/>
      <c r="I151" s="85">
        <v>44414</v>
      </c>
      <c r="J151" s="85">
        <v>44414</v>
      </c>
      <c r="K151" s="85">
        <v>44414</v>
      </c>
      <c r="L151" s="85">
        <v>44414</v>
      </c>
      <c r="M151" s="85">
        <v>38638</v>
      </c>
      <c r="N151" s="85"/>
      <c r="O151" s="85">
        <v>-39967</v>
      </c>
      <c r="P151" s="85">
        <v>-39967</v>
      </c>
      <c r="Q151" s="85">
        <v>-39967</v>
      </c>
      <c r="R151" s="85">
        <v>-35573</v>
      </c>
      <c r="S151" s="228"/>
      <c r="T151" s="85">
        <v>83743</v>
      </c>
      <c r="U151" s="85">
        <v>83743</v>
      </c>
      <c r="V151" s="85">
        <v>82069</v>
      </c>
      <c r="W151" s="228"/>
      <c r="X151" s="243">
        <v>80545</v>
      </c>
      <c r="Y151" s="244">
        <v>78935</v>
      </c>
      <c r="Z151" s="62"/>
      <c r="AA151" s="141">
        <v>-26763</v>
      </c>
      <c r="AD151" s="244">
        <f>VLOOKUP(A151,'Change in Proportion Calc'!$A$5:$H$311,8,FALSE)+SUMIF($C$5:$AB$5,2025,C151:AB151)</f>
        <v>130879</v>
      </c>
      <c r="AF151" s="243">
        <f t="shared" si="18"/>
        <v>416627</v>
      </c>
      <c r="AG151" s="243">
        <f t="shared" si="19"/>
        <v>170193</v>
      </c>
      <c r="AI151" s="243">
        <f>VLOOKUP(A151,'OPEB Amounts_Report'!$A$10:$G$324,7,FALSE)</f>
        <v>416627</v>
      </c>
      <c r="AJ151" s="244">
        <f t="shared" si="26"/>
        <v>0</v>
      </c>
      <c r="AK151" s="244"/>
      <c r="AL151" s="354">
        <f t="shared" si="20"/>
        <v>3006</v>
      </c>
      <c r="AM151" s="243">
        <f t="shared" si="21"/>
        <v>156032</v>
      </c>
      <c r="AN151" s="243">
        <f t="shared" si="22"/>
        <v>75423</v>
      </c>
      <c r="AO151" s="243">
        <f t="shared" si="23"/>
        <v>-2252</v>
      </c>
      <c r="AP151" s="243">
        <f t="shared" si="24"/>
        <v>27545</v>
      </c>
      <c r="AQ151" s="243">
        <f t="shared" si="25"/>
        <v>-10314</v>
      </c>
    </row>
    <row r="152" spans="1:43">
      <c r="A152" s="61">
        <v>6019</v>
      </c>
      <c r="B152" s="62" t="s">
        <v>142</v>
      </c>
      <c r="C152" s="85">
        <f>_xlfn.XLOOKUP($A152,'Change in Proportion Calc'!$A$5:$A$311,'Change in Proportion Calc'!L$5:L$311,,0,)</f>
        <v>-76964</v>
      </c>
      <c r="D152" s="85">
        <f>_xlfn.XLOOKUP($A152,'Change in Proportion Calc'!$A$5:$A$311,'Change in Proportion Calc'!M$5:M$311,,0,)</f>
        <v>-76964</v>
      </c>
      <c r="E152" s="85">
        <f>_xlfn.XLOOKUP($A152,'Change in Proportion Calc'!$A$5:$A$311,'Change in Proportion Calc'!N$5:N$311,,0,)</f>
        <v>-76964</v>
      </c>
      <c r="F152" s="85">
        <f>_xlfn.XLOOKUP($A152,'Change in Proportion Calc'!$A$5:$A$311,'Change in Proportion Calc'!O$5:O$311,,0,)</f>
        <v>-76964</v>
      </c>
      <c r="G152" s="85">
        <f>_xlfn.XLOOKUP($A152,'Change in Proportion Calc'!$A$5:$A$311,'Change in Proportion Calc'!P$5:P$311,,0,)</f>
        <v>-71574</v>
      </c>
      <c r="H152" s="228"/>
      <c r="I152" s="85">
        <v>357191</v>
      </c>
      <c r="J152" s="85">
        <v>357191</v>
      </c>
      <c r="K152" s="85">
        <v>357191</v>
      </c>
      <c r="L152" s="85">
        <v>357191</v>
      </c>
      <c r="M152" s="85">
        <v>310757</v>
      </c>
      <c r="N152" s="85"/>
      <c r="O152" s="85">
        <v>-192519</v>
      </c>
      <c r="P152" s="85">
        <v>-192519</v>
      </c>
      <c r="Q152" s="85">
        <v>-192519</v>
      </c>
      <c r="R152" s="85">
        <v>-171344</v>
      </c>
      <c r="S152" s="228"/>
      <c r="T152" s="85">
        <v>137439</v>
      </c>
      <c r="U152" s="85">
        <v>137439</v>
      </c>
      <c r="V152" s="85">
        <v>134691</v>
      </c>
      <c r="W152" s="228"/>
      <c r="X152" s="243">
        <v>152933</v>
      </c>
      <c r="Y152" s="244">
        <v>149873</v>
      </c>
      <c r="Z152" s="62"/>
      <c r="AA152" s="141">
        <v>32910</v>
      </c>
      <c r="AD152" s="244">
        <f>VLOOKUP(A152,'Change in Proportion Calc'!$A$5:$H$311,8,FALSE)+SUMIF($C$5:$AB$5,2025,C152:AB152)</f>
        <v>410990</v>
      </c>
      <c r="AF152" s="243">
        <f t="shared" si="18"/>
        <v>1804333</v>
      </c>
      <c r="AG152" s="243">
        <f t="shared" si="19"/>
        <v>935812</v>
      </c>
      <c r="AI152" s="243">
        <f>VLOOKUP(A152,'OPEB Amounts_Report'!$A$10:$G$324,7,FALSE)</f>
        <v>1804333</v>
      </c>
      <c r="AJ152" s="244">
        <f t="shared" si="26"/>
        <v>0</v>
      </c>
      <c r="AK152" s="244"/>
      <c r="AL152" s="354">
        <f t="shared" si="20"/>
        <v>6019</v>
      </c>
      <c r="AM152" s="243">
        <f t="shared" si="21"/>
        <v>375020</v>
      </c>
      <c r="AN152" s="243">
        <f t="shared" si="22"/>
        <v>222399</v>
      </c>
      <c r="AO152" s="243">
        <f t="shared" si="23"/>
        <v>108883</v>
      </c>
      <c r="AP152" s="243">
        <f t="shared" si="24"/>
        <v>233793</v>
      </c>
      <c r="AQ152" s="243">
        <f t="shared" si="25"/>
        <v>-71574</v>
      </c>
    </row>
    <row r="153" spans="1:43">
      <c r="A153" s="59">
        <v>12128</v>
      </c>
      <c r="B153" s="63" t="s">
        <v>143</v>
      </c>
      <c r="C153" s="85">
        <f>_xlfn.XLOOKUP($A153,'Change in Proportion Calc'!$A$5:$A$311,'Change in Proportion Calc'!L$5:L$311,,0,)</f>
        <v>-12866</v>
      </c>
      <c r="D153" s="85">
        <f>_xlfn.XLOOKUP($A153,'Change in Proportion Calc'!$A$5:$A$311,'Change in Proportion Calc'!M$5:M$311,,0,)</f>
        <v>-12866</v>
      </c>
      <c r="E153" s="85">
        <f>_xlfn.XLOOKUP($A153,'Change in Proportion Calc'!$A$5:$A$311,'Change in Proportion Calc'!N$5:N$311,,0,)</f>
        <v>-12866</v>
      </c>
      <c r="F153" s="85">
        <f>_xlfn.XLOOKUP($A153,'Change in Proportion Calc'!$A$5:$A$311,'Change in Proportion Calc'!O$5:O$311,,0,)</f>
        <v>-12866</v>
      </c>
      <c r="G153" s="85">
        <f>_xlfn.XLOOKUP($A153,'Change in Proportion Calc'!$A$5:$A$311,'Change in Proportion Calc'!P$5:P$311,,0,)</f>
        <v>-11965</v>
      </c>
      <c r="H153" s="228"/>
      <c r="I153" s="85">
        <v>-39413</v>
      </c>
      <c r="J153" s="85">
        <v>-39413</v>
      </c>
      <c r="K153" s="85">
        <v>-39413</v>
      </c>
      <c r="L153" s="85">
        <v>-39413</v>
      </c>
      <c r="M153" s="85">
        <v>-34291</v>
      </c>
      <c r="N153" s="85"/>
      <c r="O153" s="85">
        <v>-124015</v>
      </c>
      <c r="P153" s="85">
        <v>-124015</v>
      </c>
      <c r="Q153" s="85">
        <v>-124015</v>
      </c>
      <c r="R153" s="85">
        <v>-110373</v>
      </c>
      <c r="S153" s="228"/>
      <c r="T153" s="85">
        <v>-63496</v>
      </c>
      <c r="U153" s="85">
        <v>-63496</v>
      </c>
      <c r="V153" s="85">
        <v>-62224</v>
      </c>
      <c r="W153" s="228"/>
      <c r="X153" s="243">
        <v>-99780</v>
      </c>
      <c r="Y153" s="244">
        <v>-97784</v>
      </c>
      <c r="Z153" s="62"/>
      <c r="AA153" s="141">
        <v>53708</v>
      </c>
      <c r="AD153" s="244">
        <f>VLOOKUP(A153,'Change in Proportion Calc'!$A$5:$H$311,8,FALSE)+SUMIF($C$5:$AB$5,2025,C153:AB153)</f>
        <v>-285862</v>
      </c>
      <c r="AF153" s="243">
        <f t="shared" si="18"/>
        <v>0</v>
      </c>
      <c r="AG153" s="243">
        <f t="shared" si="19"/>
        <v>797866</v>
      </c>
      <c r="AI153" s="243">
        <f>VLOOKUP(A153,'OPEB Amounts_Report'!$A$10:$G$324,7,FALSE)</f>
        <v>0</v>
      </c>
      <c r="AJ153" s="244">
        <f t="shared" si="26"/>
        <v>0</v>
      </c>
      <c r="AK153" s="244"/>
      <c r="AL153" s="354">
        <f t="shared" si="20"/>
        <v>12128</v>
      </c>
      <c r="AM153" s="243">
        <f t="shared" si="21"/>
        <v>-337574</v>
      </c>
      <c r="AN153" s="243">
        <f t="shared" si="22"/>
        <v>-238518</v>
      </c>
      <c r="AO153" s="243">
        <f t="shared" si="23"/>
        <v>-162652</v>
      </c>
      <c r="AP153" s="243">
        <f t="shared" si="24"/>
        <v>-47157</v>
      </c>
      <c r="AQ153" s="243">
        <f t="shared" si="25"/>
        <v>-11965</v>
      </c>
    </row>
    <row r="154" spans="1:43">
      <c r="A154" s="61">
        <v>3180</v>
      </c>
      <c r="B154" s="62" t="s">
        <v>144</v>
      </c>
      <c r="C154" s="85">
        <f>_xlfn.XLOOKUP($A154,'Change in Proportion Calc'!$A$5:$A$311,'Change in Proportion Calc'!L$5:L$311,,0,)</f>
        <v>-40474</v>
      </c>
      <c r="D154" s="85">
        <f>_xlfn.XLOOKUP($A154,'Change in Proportion Calc'!$A$5:$A$311,'Change in Proportion Calc'!M$5:M$311,,0,)</f>
        <v>-40474</v>
      </c>
      <c r="E154" s="85">
        <f>_xlfn.XLOOKUP($A154,'Change in Proportion Calc'!$A$5:$A$311,'Change in Proportion Calc'!N$5:N$311,,0,)</f>
        <v>-40474</v>
      </c>
      <c r="F154" s="85">
        <f>_xlfn.XLOOKUP($A154,'Change in Proportion Calc'!$A$5:$A$311,'Change in Proportion Calc'!O$5:O$311,,0,)</f>
        <v>-40474</v>
      </c>
      <c r="G154" s="85">
        <f>_xlfn.XLOOKUP($A154,'Change in Proportion Calc'!$A$5:$A$311,'Change in Proportion Calc'!P$5:P$311,,0,)</f>
        <v>-37641</v>
      </c>
      <c r="H154" s="228"/>
      <c r="I154" s="85">
        <v>-40101</v>
      </c>
      <c r="J154" s="85">
        <v>-40101</v>
      </c>
      <c r="K154" s="85">
        <v>-40101</v>
      </c>
      <c r="L154" s="85">
        <v>-40101</v>
      </c>
      <c r="M154" s="85">
        <v>-34886</v>
      </c>
      <c r="N154" s="85"/>
      <c r="O154" s="85">
        <v>55859</v>
      </c>
      <c r="P154" s="85">
        <v>55859</v>
      </c>
      <c r="Q154" s="85">
        <v>55859</v>
      </c>
      <c r="R154" s="85">
        <v>49716</v>
      </c>
      <c r="S154" s="228"/>
      <c r="T154" s="85">
        <v>-51995</v>
      </c>
      <c r="U154" s="85">
        <v>-51995</v>
      </c>
      <c r="V154" s="85">
        <v>-50956</v>
      </c>
      <c r="W154" s="228"/>
      <c r="X154" s="243">
        <v>-19320</v>
      </c>
      <c r="Y154" s="244">
        <v>-18936</v>
      </c>
      <c r="Z154" s="62"/>
      <c r="AA154" s="141">
        <v>-53957</v>
      </c>
      <c r="AD154" s="244">
        <f>VLOOKUP(A154,'Change in Proportion Calc'!$A$5:$H$311,8,FALSE)+SUMIF($C$5:$AB$5,2025,C154:AB154)</f>
        <v>-149988</v>
      </c>
      <c r="AF154" s="243">
        <f t="shared" si="18"/>
        <v>161434</v>
      </c>
      <c r="AG154" s="243">
        <f t="shared" si="19"/>
        <v>476613</v>
      </c>
      <c r="AI154" s="243">
        <f>VLOOKUP(A154,'OPEB Amounts_Report'!$A$10:$G$324,7,FALSE)</f>
        <v>161434</v>
      </c>
      <c r="AJ154" s="244">
        <f t="shared" si="26"/>
        <v>0</v>
      </c>
      <c r="AK154" s="244"/>
      <c r="AL154" s="354">
        <f t="shared" si="20"/>
        <v>3180</v>
      </c>
      <c r="AM154" s="243">
        <f t="shared" si="21"/>
        <v>-95647</v>
      </c>
      <c r="AN154" s="243">
        <f t="shared" si="22"/>
        <v>-75672</v>
      </c>
      <c r="AO154" s="243">
        <f t="shared" si="23"/>
        <v>-30859</v>
      </c>
      <c r="AP154" s="243">
        <f t="shared" si="24"/>
        <v>-75360</v>
      </c>
      <c r="AQ154" s="243">
        <f t="shared" si="25"/>
        <v>-37641</v>
      </c>
    </row>
    <row r="155" spans="1:43">
      <c r="A155" s="59">
        <v>25075</v>
      </c>
      <c r="B155" s="63" t="s">
        <v>145</v>
      </c>
      <c r="C155" s="85">
        <f>_xlfn.XLOOKUP($A155,'Change in Proportion Calc'!$A$5:$A$311,'Change in Proportion Calc'!L$5:L$311,,0,)</f>
        <v>1191</v>
      </c>
      <c r="D155" s="85">
        <f>_xlfn.XLOOKUP($A155,'Change in Proportion Calc'!$A$5:$A$311,'Change in Proportion Calc'!M$5:M$311,,0,)</f>
        <v>1191</v>
      </c>
      <c r="E155" s="85">
        <f>_xlfn.XLOOKUP($A155,'Change in Proportion Calc'!$A$5:$A$311,'Change in Proportion Calc'!N$5:N$311,,0,)</f>
        <v>1191</v>
      </c>
      <c r="F155" s="85">
        <f>_xlfn.XLOOKUP($A155,'Change in Proportion Calc'!$A$5:$A$311,'Change in Proportion Calc'!O$5:O$311,,0,)</f>
        <v>1191</v>
      </c>
      <c r="G155" s="85">
        <f>_xlfn.XLOOKUP($A155,'Change in Proportion Calc'!$A$5:$A$311,'Change in Proportion Calc'!P$5:P$311,,0,)</f>
        <v>1108</v>
      </c>
      <c r="H155" s="228"/>
      <c r="I155" s="85">
        <v>-32702</v>
      </c>
      <c r="J155" s="85">
        <v>-32702</v>
      </c>
      <c r="K155" s="85">
        <v>-32702</v>
      </c>
      <c r="L155" s="85">
        <v>-32702</v>
      </c>
      <c r="M155" s="85">
        <v>-28453</v>
      </c>
      <c r="N155" s="85"/>
      <c r="O155" s="85">
        <v>55924</v>
      </c>
      <c r="P155" s="85">
        <v>55924</v>
      </c>
      <c r="Q155" s="85">
        <v>55924</v>
      </c>
      <c r="R155" s="85">
        <v>49774</v>
      </c>
      <c r="S155" s="228"/>
      <c r="T155" s="85">
        <v>25026</v>
      </c>
      <c r="U155" s="85">
        <v>25026</v>
      </c>
      <c r="V155" s="85">
        <v>24524</v>
      </c>
      <c r="W155" s="228"/>
      <c r="X155" s="243">
        <v>-22755</v>
      </c>
      <c r="Y155" s="244">
        <v>-22302</v>
      </c>
      <c r="Z155" s="62"/>
      <c r="AA155" s="141">
        <v>37751</v>
      </c>
      <c r="AD155" s="244">
        <f>VLOOKUP(A155,'Change in Proportion Calc'!$A$5:$H$311,8,FALSE)+SUMIF($C$5:$AB$5,2025,C155:AB155)</f>
        <v>64435</v>
      </c>
      <c r="AF155" s="243">
        <f t="shared" si="18"/>
        <v>217044</v>
      </c>
      <c r="AG155" s="243">
        <f t="shared" si="19"/>
        <v>148861</v>
      </c>
      <c r="AI155" s="243">
        <f>VLOOKUP(A155,'OPEB Amounts_Report'!$A$10:$G$324,7,FALSE)</f>
        <v>217044</v>
      </c>
      <c r="AJ155" s="244">
        <f t="shared" si="26"/>
        <v>0</v>
      </c>
      <c r="AK155" s="244"/>
      <c r="AL155" s="354">
        <f t="shared" si="20"/>
        <v>25075</v>
      </c>
      <c r="AM155" s="243">
        <f t="shared" si="21"/>
        <v>27137</v>
      </c>
      <c r="AN155" s="243">
        <f t="shared" si="22"/>
        <v>48937</v>
      </c>
      <c r="AO155" s="243">
        <f t="shared" si="23"/>
        <v>18263</v>
      </c>
      <c r="AP155" s="243">
        <f t="shared" si="24"/>
        <v>-27262</v>
      </c>
      <c r="AQ155" s="243">
        <f t="shared" si="25"/>
        <v>1108</v>
      </c>
    </row>
    <row r="156" spans="1:43">
      <c r="A156" s="61">
        <v>9028</v>
      </c>
      <c r="B156" s="62" t="s">
        <v>146</v>
      </c>
      <c r="C156" s="85">
        <f>_xlfn.XLOOKUP($A156,'Change in Proportion Calc'!$A$5:$A$311,'Change in Proportion Calc'!L$5:L$311,,0,)</f>
        <v>-13305</v>
      </c>
      <c r="D156" s="85">
        <f>_xlfn.XLOOKUP($A156,'Change in Proportion Calc'!$A$5:$A$311,'Change in Proportion Calc'!M$5:M$311,,0,)</f>
        <v>-13305</v>
      </c>
      <c r="E156" s="85">
        <f>_xlfn.XLOOKUP($A156,'Change in Proportion Calc'!$A$5:$A$311,'Change in Proportion Calc'!N$5:N$311,,0,)</f>
        <v>-13305</v>
      </c>
      <c r="F156" s="85">
        <f>_xlfn.XLOOKUP($A156,'Change in Proportion Calc'!$A$5:$A$311,'Change in Proportion Calc'!O$5:O$311,,0,)</f>
        <v>-13305</v>
      </c>
      <c r="G156" s="85">
        <f>_xlfn.XLOOKUP($A156,'Change in Proportion Calc'!$A$5:$A$311,'Change in Proportion Calc'!P$5:P$311,,0,)</f>
        <v>-12373</v>
      </c>
      <c r="H156" s="228"/>
      <c r="I156" s="85">
        <v>2381</v>
      </c>
      <c r="J156" s="85">
        <v>2381</v>
      </c>
      <c r="K156" s="85">
        <v>2381</v>
      </c>
      <c r="L156" s="85">
        <v>2381</v>
      </c>
      <c r="M156" s="85">
        <v>2072</v>
      </c>
      <c r="N156" s="85"/>
      <c r="O156" s="85">
        <v>-8348</v>
      </c>
      <c r="P156" s="85">
        <v>-8348</v>
      </c>
      <c r="Q156" s="85">
        <v>-8348</v>
      </c>
      <c r="R156" s="85">
        <v>-7428</v>
      </c>
      <c r="S156" s="228"/>
      <c r="T156" s="85">
        <v>-13525</v>
      </c>
      <c r="U156" s="85">
        <v>-13525</v>
      </c>
      <c r="V156" s="85">
        <v>-13256</v>
      </c>
      <c r="W156" s="228"/>
      <c r="X156" s="243">
        <v>3778</v>
      </c>
      <c r="Y156" s="244">
        <v>3704</v>
      </c>
      <c r="Z156" s="62"/>
      <c r="AA156" s="141">
        <v>-435</v>
      </c>
      <c r="AD156" s="244">
        <f>VLOOKUP(A156,'Change in Proportion Calc'!$A$5:$H$311,8,FALSE)+SUMIF($C$5:$AB$5,2025,C156:AB156)</f>
        <v>-29454</v>
      </c>
      <c r="AF156" s="243">
        <f t="shared" si="18"/>
        <v>12919</v>
      </c>
      <c r="AG156" s="243">
        <f t="shared" si="19"/>
        <v>116498</v>
      </c>
      <c r="AI156" s="243">
        <f>VLOOKUP(A156,'OPEB Amounts_Report'!$A$10:$G$324,7,FALSE)</f>
        <v>12919</v>
      </c>
      <c r="AJ156" s="244">
        <f t="shared" si="26"/>
        <v>0</v>
      </c>
      <c r="AK156" s="244"/>
      <c r="AL156" s="354">
        <f t="shared" si="20"/>
        <v>9028</v>
      </c>
      <c r="AM156" s="243">
        <f t="shared" si="21"/>
        <v>-29093</v>
      </c>
      <c r="AN156" s="243">
        <f t="shared" si="22"/>
        <v>-32528</v>
      </c>
      <c r="AO156" s="243">
        <f t="shared" si="23"/>
        <v>-18352</v>
      </c>
      <c r="AP156" s="243">
        <f t="shared" si="24"/>
        <v>-11233</v>
      </c>
      <c r="AQ156" s="243">
        <f t="shared" si="25"/>
        <v>-12373</v>
      </c>
    </row>
    <row r="157" spans="1:43">
      <c r="A157" s="59">
        <v>17424</v>
      </c>
      <c r="B157" s="63" t="s">
        <v>147</v>
      </c>
      <c r="C157" s="85">
        <f>_xlfn.XLOOKUP($A157,'Change in Proportion Calc'!$A$5:$A$311,'Change in Proportion Calc'!L$5:L$311,,0,)</f>
        <v>-7017</v>
      </c>
      <c r="D157" s="85">
        <f>_xlfn.XLOOKUP($A157,'Change in Proportion Calc'!$A$5:$A$311,'Change in Proportion Calc'!M$5:M$311,,0,)</f>
        <v>-7017</v>
      </c>
      <c r="E157" s="85">
        <f>_xlfn.XLOOKUP($A157,'Change in Proportion Calc'!$A$5:$A$311,'Change in Proportion Calc'!N$5:N$311,,0,)</f>
        <v>-7017</v>
      </c>
      <c r="F157" s="85">
        <f>_xlfn.XLOOKUP($A157,'Change in Proportion Calc'!$A$5:$A$311,'Change in Proportion Calc'!O$5:O$311,,0,)</f>
        <v>-7017</v>
      </c>
      <c r="G157" s="85">
        <f>_xlfn.XLOOKUP($A157,'Change in Proportion Calc'!$A$5:$A$311,'Change in Proportion Calc'!P$5:P$311,,0,)</f>
        <v>-6527</v>
      </c>
      <c r="H157" s="228"/>
      <c r="I157" s="85">
        <v>31510</v>
      </c>
      <c r="J157" s="85">
        <v>31510</v>
      </c>
      <c r="K157" s="85">
        <v>31510</v>
      </c>
      <c r="L157" s="85">
        <v>31510</v>
      </c>
      <c r="M157" s="85">
        <v>27416</v>
      </c>
      <c r="N157" s="85"/>
      <c r="O157" s="85">
        <v>-5810</v>
      </c>
      <c r="P157" s="85">
        <v>-5810</v>
      </c>
      <c r="Q157" s="85">
        <v>-5810</v>
      </c>
      <c r="R157" s="85">
        <v>-5172</v>
      </c>
      <c r="S157" s="228"/>
      <c r="T157" s="85">
        <v>9233</v>
      </c>
      <c r="U157" s="85">
        <v>9233</v>
      </c>
      <c r="V157" s="85">
        <v>9047</v>
      </c>
      <c r="W157" s="228"/>
      <c r="X157" s="243">
        <v>34262</v>
      </c>
      <c r="Y157" s="244">
        <v>33575</v>
      </c>
      <c r="Z157" s="62"/>
      <c r="AA157" s="141">
        <v>4907</v>
      </c>
      <c r="AD157" s="244">
        <f>VLOOKUP(A157,'Change in Proportion Calc'!$A$5:$H$311,8,FALSE)+SUMIF($C$5:$AB$5,2025,C157:AB157)</f>
        <v>67085</v>
      </c>
      <c r="AF157" s="243">
        <f t="shared" si="18"/>
        <v>173801</v>
      </c>
      <c r="AG157" s="243">
        <f t="shared" si="19"/>
        <v>51387</v>
      </c>
      <c r="AI157" s="243">
        <f>VLOOKUP(A157,'OPEB Amounts_Report'!$A$10:$G$324,7,FALSE)</f>
        <v>173801</v>
      </c>
      <c r="AJ157" s="244">
        <f t="shared" si="26"/>
        <v>0</v>
      </c>
      <c r="AK157" s="244"/>
      <c r="AL157" s="354">
        <f t="shared" si="20"/>
        <v>17424</v>
      </c>
      <c r="AM157" s="243">
        <f t="shared" si="21"/>
        <v>61491</v>
      </c>
      <c r="AN157" s="243">
        <f t="shared" si="22"/>
        <v>27730</v>
      </c>
      <c r="AO157" s="243">
        <f t="shared" si="23"/>
        <v>19321</v>
      </c>
      <c r="AP157" s="243">
        <f t="shared" si="24"/>
        <v>20399</v>
      </c>
      <c r="AQ157" s="243">
        <f t="shared" si="25"/>
        <v>-6527</v>
      </c>
    </row>
    <row r="158" spans="1:43">
      <c r="A158" s="118">
        <v>3200</v>
      </c>
      <c r="B158" s="119" t="s">
        <v>148</v>
      </c>
      <c r="C158" s="85">
        <f>_xlfn.XLOOKUP($A158,'Change in Proportion Calc'!$A$5:$A$311,'Change in Proportion Calc'!L$5:L$311,,0,)</f>
        <v>-62253</v>
      </c>
      <c r="D158" s="85">
        <f>_xlfn.XLOOKUP($A158,'Change in Proportion Calc'!$A$5:$A$311,'Change in Proportion Calc'!M$5:M$311,,0,)</f>
        <v>-62253</v>
      </c>
      <c r="E158" s="85">
        <f>_xlfn.XLOOKUP($A158,'Change in Proportion Calc'!$A$5:$A$311,'Change in Proportion Calc'!N$5:N$311,,0,)</f>
        <v>-62253</v>
      </c>
      <c r="F158" s="85">
        <f>_xlfn.XLOOKUP($A158,'Change in Proportion Calc'!$A$5:$A$311,'Change in Proportion Calc'!O$5:O$311,,0,)</f>
        <v>-62253</v>
      </c>
      <c r="G158" s="85">
        <f>_xlfn.XLOOKUP($A158,'Change in Proportion Calc'!$A$5:$A$311,'Change in Proportion Calc'!P$5:P$311,,0,)</f>
        <v>-57898</v>
      </c>
      <c r="H158" s="228"/>
      <c r="I158" s="85">
        <v>-90603</v>
      </c>
      <c r="J158" s="85">
        <v>-90603</v>
      </c>
      <c r="K158" s="85">
        <v>-90603</v>
      </c>
      <c r="L158" s="85">
        <v>-90603</v>
      </c>
      <c r="M158" s="85">
        <v>-78826</v>
      </c>
      <c r="N158" s="85"/>
      <c r="O158" s="85">
        <v>-24235</v>
      </c>
      <c r="P158" s="85">
        <v>-24235</v>
      </c>
      <c r="Q158" s="85">
        <v>-24235</v>
      </c>
      <c r="R158" s="85">
        <v>-21567</v>
      </c>
      <c r="S158" s="228"/>
      <c r="T158" s="85">
        <v>-16036</v>
      </c>
      <c r="U158" s="85">
        <v>-16036</v>
      </c>
      <c r="V158" s="85">
        <v>-15715</v>
      </c>
      <c r="W158" s="228"/>
      <c r="X158" s="243">
        <v>-137391</v>
      </c>
      <c r="Y158" s="244">
        <v>-134641</v>
      </c>
      <c r="Z158" s="62"/>
      <c r="AA158" s="141">
        <v>-30489</v>
      </c>
      <c r="AD158" s="244">
        <f>VLOOKUP(A158,'Change in Proportion Calc'!$A$5:$H$311,8,FALSE)+SUMIF($C$5:$AB$5,2025,C158:AB158)</f>
        <v>-361007</v>
      </c>
      <c r="AF158" s="243">
        <f t="shared" si="18"/>
        <v>0</v>
      </c>
      <c r="AG158" s="243">
        <f t="shared" si="19"/>
        <v>893974</v>
      </c>
      <c r="AI158" s="243">
        <f>VLOOKUP(A158,'OPEB Amounts_Report'!$A$10:$G$324,7,FALSE)</f>
        <v>0</v>
      </c>
      <c r="AJ158" s="244">
        <f t="shared" si="26"/>
        <v>0</v>
      </c>
      <c r="AK158" s="244"/>
      <c r="AL158" s="354">
        <f t="shared" si="20"/>
        <v>3200</v>
      </c>
      <c r="AM158" s="243">
        <f t="shared" si="21"/>
        <v>-327768</v>
      </c>
      <c r="AN158" s="243">
        <f t="shared" si="22"/>
        <v>-192806</v>
      </c>
      <c r="AO158" s="243">
        <f t="shared" si="23"/>
        <v>-174423</v>
      </c>
      <c r="AP158" s="243">
        <f t="shared" si="24"/>
        <v>-141079</v>
      </c>
      <c r="AQ158" s="243">
        <f t="shared" si="25"/>
        <v>-57898</v>
      </c>
    </row>
    <row r="159" spans="1:43">
      <c r="A159" s="59">
        <v>2365</v>
      </c>
      <c r="B159" s="63" t="s">
        <v>149</v>
      </c>
      <c r="C159" s="85">
        <f>_xlfn.XLOOKUP($A159,'Change in Proportion Calc'!$A$5:$A$311,'Change in Proportion Calc'!L$5:L$311,,0,)</f>
        <v>-8232</v>
      </c>
      <c r="D159" s="85">
        <f>_xlfn.XLOOKUP($A159,'Change in Proportion Calc'!$A$5:$A$311,'Change in Proportion Calc'!M$5:M$311,,0,)</f>
        <v>-8232</v>
      </c>
      <c r="E159" s="85">
        <f>_xlfn.XLOOKUP($A159,'Change in Proportion Calc'!$A$5:$A$311,'Change in Proportion Calc'!N$5:N$311,,0,)</f>
        <v>-8232</v>
      </c>
      <c r="F159" s="85">
        <f>_xlfn.XLOOKUP($A159,'Change in Proportion Calc'!$A$5:$A$311,'Change in Proportion Calc'!O$5:O$311,,0,)</f>
        <v>-8232</v>
      </c>
      <c r="G159" s="85">
        <f>_xlfn.XLOOKUP($A159,'Change in Proportion Calc'!$A$5:$A$311,'Change in Proportion Calc'!P$5:P$311,,0,)</f>
        <v>-7658</v>
      </c>
      <c r="H159" s="228"/>
      <c r="I159" s="85">
        <v>-40871</v>
      </c>
      <c r="J159" s="85">
        <v>-40871</v>
      </c>
      <c r="K159" s="85">
        <v>-40871</v>
      </c>
      <c r="L159" s="85">
        <v>-40871</v>
      </c>
      <c r="M159" s="85">
        <v>-35560</v>
      </c>
      <c r="N159" s="85"/>
      <c r="O159" s="85">
        <v>-30846</v>
      </c>
      <c r="P159" s="85">
        <v>-30846</v>
      </c>
      <c r="Q159" s="85">
        <v>-30846</v>
      </c>
      <c r="R159" s="85">
        <v>-27455</v>
      </c>
      <c r="S159" s="228"/>
      <c r="T159" s="85">
        <v>-24945</v>
      </c>
      <c r="U159" s="85">
        <v>-24945</v>
      </c>
      <c r="V159" s="85">
        <v>-24445</v>
      </c>
      <c r="W159" s="228"/>
      <c r="X159" s="243">
        <v>-13310</v>
      </c>
      <c r="Y159" s="244">
        <v>-13042</v>
      </c>
      <c r="Z159" s="62"/>
      <c r="AA159" s="141">
        <v>24152</v>
      </c>
      <c r="AD159" s="244">
        <f>VLOOKUP(A159,'Change in Proportion Calc'!$A$5:$H$311,8,FALSE)+SUMIF($C$5:$AB$5,2025,C159:AB159)</f>
        <v>-94052</v>
      </c>
      <c r="AF159" s="243">
        <f t="shared" si="18"/>
        <v>0</v>
      </c>
      <c r="AG159" s="243">
        <f t="shared" si="19"/>
        <v>350338</v>
      </c>
      <c r="AI159" s="243">
        <f>VLOOKUP(A159,'OPEB Amounts_Report'!$A$10:$G$324,7,FALSE)</f>
        <v>0</v>
      </c>
      <c r="AJ159" s="244">
        <f t="shared" si="26"/>
        <v>0</v>
      </c>
      <c r="AK159" s="244"/>
      <c r="AL159" s="354">
        <f t="shared" si="20"/>
        <v>2365</v>
      </c>
      <c r="AM159" s="243">
        <f t="shared" si="21"/>
        <v>-117936</v>
      </c>
      <c r="AN159" s="243">
        <f t="shared" si="22"/>
        <v>-104394</v>
      </c>
      <c r="AO159" s="243">
        <f t="shared" si="23"/>
        <v>-76558</v>
      </c>
      <c r="AP159" s="243">
        <f t="shared" si="24"/>
        <v>-43792</v>
      </c>
      <c r="AQ159" s="243">
        <f t="shared" si="25"/>
        <v>-7658</v>
      </c>
    </row>
    <row r="160" spans="1:43">
      <c r="A160" s="61">
        <v>5014</v>
      </c>
      <c r="B160" s="62" t="s">
        <v>150</v>
      </c>
      <c r="C160" s="85">
        <f>_xlfn.XLOOKUP($A160,'Change in Proportion Calc'!$A$5:$A$311,'Change in Proportion Calc'!L$5:L$311,,0,)</f>
        <v>-8493</v>
      </c>
      <c r="D160" s="85">
        <f>_xlfn.XLOOKUP($A160,'Change in Proportion Calc'!$A$5:$A$311,'Change in Proportion Calc'!M$5:M$311,,0,)</f>
        <v>-8493</v>
      </c>
      <c r="E160" s="85">
        <f>_xlfn.XLOOKUP($A160,'Change in Proportion Calc'!$A$5:$A$311,'Change in Proportion Calc'!N$5:N$311,,0,)</f>
        <v>-8493</v>
      </c>
      <c r="F160" s="85">
        <f>_xlfn.XLOOKUP($A160,'Change in Proportion Calc'!$A$5:$A$311,'Change in Proportion Calc'!O$5:O$311,,0,)</f>
        <v>-8493</v>
      </c>
      <c r="G160" s="85">
        <f>_xlfn.XLOOKUP($A160,'Change in Proportion Calc'!$A$5:$A$311,'Change in Proportion Calc'!P$5:P$311,,0,)</f>
        <v>-7901</v>
      </c>
      <c r="H160" s="228"/>
      <c r="I160" s="85">
        <v>-4393</v>
      </c>
      <c r="J160" s="85">
        <v>-4393</v>
      </c>
      <c r="K160" s="85">
        <v>-4393</v>
      </c>
      <c r="L160" s="85">
        <v>-4393</v>
      </c>
      <c r="M160" s="85">
        <v>-3824</v>
      </c>
      <c r="N160" s="85"/>
      <c r="O160" s="85">
        <v>8900</v>
      </c>
      <c r="P160" s="85">
        <v>8900</v>
      </c>
      <c r="Q160" s="85">
        <v>8900</v>
      </c>
      <c r="R160" s="85">
        <v>7920</v>
      </c>
      <c r="S160" s="228"/>
      <c r="T160" s="85">
        <v>-6641</v>
      </c>
      <c r="U160" s="85">
        <v>-6641</v>
      </c>
      <c r="V160" s="85">
        <v>-6509</v>
      </c>
      <c r="W160" s="228"/>
      <c r="X160" s="243">
        <v>7728</v>
      </c>
      <c r="Y160" s="244">
        <v>7575</v>
      </c>
      <c r="Z160" s="62"/>
      <c r="AA160" s="141">
        <v>-1057</v>
      </c>
      <c r="AD160" s="244">
        <f>VLOOKUP(A160,'Change in Proportion Calc'!$A$5:$H$311,8,FALSE)+SUMIF($C$5:$AB$5,2025,C160:AB160)</f>
        <v>-3956</v>
      </c>
      <c r="AF160" s="243">
        <f t="shared" si="18"/>
        <v>33295</v>
      </c>
      <c r="AG160" s="243">
        <f t="shared" si="19"/>
        <v>72026</v>
      </c>
      <c r="AI160" s="243">
        <f>VLOOKUP(A160,'OPEB Amounts_Report'!$A$10:$G$324,7,FALSE)</f>
        <v>33295</v>
      </c>
      <c r="AJ160" s="244">
        <f t="shared" si="26"/>
        <v>0</v>
      </c>
      <c r="AK160" s="244"/>
      <c r="AL160" s="354">
        <f t="shared" si="20"/>
        <v>5014</v>
      </c>
      <c r="AM160" s="243">
        <f t="shared" si="21"/>
        <v>-3052</v>
      </c>
      <c r="AN160" s="243">
        <f t="shared" si="22"/>
        <v>-10495</v>
      </c>
      <c r="AO160" s="243">
        <f t="shared" si="23"/>
        <v>-4966</v>
      </c>
      <c r="AP160" s="243">
        <f t="shared" si="24"/>
        <v>-12317</v>
      </c>
      <c r="AQ160" s="243">
        <f t="shared" si="25"/>
        <v>-7901</v>
      </c>
    </row>
    <row r="161" spans="1:43">
      <c r="A161" s="59">
        <v>17127</v>
      </c>
      <c r="B161" s="63" t="s">
        <v>151</v>
      </c>
      <c r="C161" s="85">
        <f>_xlfn.XLOOKUP($A161,'Change in Proportion Calc'!$A$5:$A$311,'Change in Proportion Calc'!L$5:L$311,,0,)</f>
        <v>-12574</v>
      </c>
      <c r="D161" s="85">
        <f>_xlfn.XLOOKUP($A161,'Change in Proportion Calc'!$A$5:$A$311,'Change in Proportion Calc'!M$5:M$311,,0,)</f>
        <v>-12574</v>
      </c>
      <c r="E161" s="85">
        <f>_xlfn.XLOOKUP($A161,'Change in Proportion Calc'!$A$5:$A$311,'Change in Proportion Calc'!N$5:N$311,,0,)</f>
        <v>-12574</v>
      </c>
      <c r="F161" s="85">
        <f>_xlfn.XLOOKUP($A161,'Change in Proportion Calc'!$A$5:$A$311,'Change in Proportion Calc'!O$5:O$311,,0,)</f>
        <v>-12574</v>
      </c>
      <c r="G161" s="85">
        <f>_xlfn.XLOOKUP($A161,'Change in Proportion Calc'!$A$5:$A$311,'Change in Proportion Calc'!P$5:P$311,,0,)</f>
        <v>-11692</v>
      </c>
      <c r="H161" s="228"/>
      <c r="I161" s="85">
        <v>20675</v>
      </c>
      <c r="J161" s="85">
        <v>20675</v>
      </c>
      <c r="K161" s="85">
        <v>20675</v>
      </c>
      <c r="L161" s="85">
        <v>20675</v>
      </c>
      <c r="M161" s="85">
        <v>17985</v>
      </c>
      <c r="N161" s="85"/>
      <c r="O161" s="85">
        <v>4514</v>
      </c>
      <c r="P161" s="85">
        <v>4514</v>
      </c>
      <c r="Q161" s="85">
        <v>4514</v>
      </c>
      <c r="R161" s="85">
        <v>4017</v>
      </c>
      <c r="S161" s="228"/>
      <c r="T161" s="85">
        <v>-35716</v>
      </c>
      <c r="U161" s="85">
        <v>-35716</v>
      </c>
      <c r="V161" s="85">
        <v>-35004</v>
      </c>
      <c r="W161" s="228"/>
      <c r="X161" s="243">
        <v>113777</v>
      </c>
      <c r="Y161" s="244">
        <v>111499</v>
      </c>
      <c r="Z161" s="62"/>
      <c r="AA161" s="141">
        <v>-161317</v>
      </c>
      <c r="AD161" s="244">
        <f>VLOOKUP(A161,'Change in Proportion Calc'!$A$5:$H$311,8,FALSE)+SUMIF($C$5:$AB$5,2025,C161:AB161)</f>
        <v>-70641</v>
      </c>
      <c r="AF161" s="243">
        <f t="shared" si="18"/>
        <v>204554</v>
      </c>
      <c r="AG161" s="243">
        <f t="shared" si="19"/>
        <v>132708</v>
      </c>
      <c r="AI161" s="243">
        <f>VLOOKUP(A161,'OPEB Amounts_Report'!$A$10:$G$324,7,FALSE)</f>
        <v>204554</v>
      </c>
      <c r="AJ161" s="244">
        <f t="shared" si="26"/>
        <v>0</v>
      </c>
      <c r="AK161" s="244"/>
      <c r="AL161" s="354">
        <f t="shared" si="20"/>
        <v>17127</v>
      </c>
      <c r="AM161" s="243">
        <f t="shared" si="21"/>
        <v>88398</v>
      </c>
      <c r="AN161" s="243">
        <f t="shared" si="22"/>
        <v>-22389</v>
      </c>
      <c r="AO161" s="243">
        <f t="shared" si="23"/>
        <v>12118</v>
      </c>
      <c r="AP161" s="243">
        <f t="shared" si="24"/>
        <v>5411</v>
      </c>
      <c r="AQ161" s="243">
        <f t="shared" si="25"/>
        <v>-11692</v>
      </c>
    </row>
    <row r="162" spans="1:43">
      <c r="A162" s="61">
        <v>10141</v>
      </c>
      <c r="B162" s="62" t="s">
        <v>152</v>
      </c>
      <c r="C162" s="85">
        <f>_xlfn.XLOOKUP($A162,'Change in Proportion Calc'!$A$5:$A$311,'Change in Proportion Calc'!L$5:L$311,,0,)</f>
        <v>-223027</v>
      </c>
      <c r="D162" s="85">
        <f>_xlfn.XLOOKUP($A162,'Change in Proportion Calc'!$A$5:$A$311,'Change in Proportion Calc'!M$5:M$311,,0,)</f>
        <v>-223027</v>
      </c>
      <c r="E162" s="85">
        <f>_xlfn.XLOOKUP($A162,'Change in Proportion Calc'!$A$5:$A$311,'Change in Proportion Calc'!N$5:N$311,,0,)</f>
        <v>-223027</v>
      </c>
      <c r="F162" s="85">
        <f>_xlfn.XLOOKUP($A162,'Change in Proportion Calc'!$A$5:$A$311,'Change in Proportion Calc'!O$5:O$311,,0,)</f>
        <v>-223027</v>
      </c>
      <c r="G162" s="85">
        <f>_xlfn.XLOOKUP($A162,'Change in Proportion Calc'!$A$5:$A$311,'Change in Proportion Calc'!P$5:P$311,,0,)</f>
        <v>-207415</v>
      </c>
      <c r="H162" s="228"/>
      <c r="I162" s="85">
        <v>117341</v>
      </c>
      <c r="J162" s="85">
        <v>117341</v>
      </c>
      <c r="K162" s="85">
        <v>117341</v>
      </c>
      <c r="L162" s="85">
        <v>117341</v>
      </c>
      <c r="M162" s="85">
        <v>102088</v>
      </c>
      <c r="N162" s="85"/>
      <c r="O162" s="85">
        <v>125538</v>
      </c>
      <c r="P162" s="85">
        <v>125538</v>
      </c>
      <c r="Q162" s="85">
        <v>125538</v>
      </c>
      <c r="R162" s="85">
        <v>111729</v>
      </c>
      <c r="S162" s="228"/>
      <c r="T162" s="85">
        <v>-26807</v>
      </c>
      <c r="U162" s="85">
        <v>-26807</v>
      </c>
      <c r="V162" s="85">
        <v>-26273</v>
      </c>
      <c r="W162" s="228"/>
      <c r="X162" s="243">
        <v>-55128</v>
      </c>
      <c r="Y162" s="244">
        <v>-54025</v>
      </c>
      <c r="Z162" s="62"/>
      <c r="AA162" s="141">
        <v>-2731</v>
      </c>
      <c r="AD162" s="244">
        <f>VLOOKUP(A162,'Change in Proportion Calc'!$A$5:$H$311,8,FALSE)+SUMIF($C$5:$AB$5,2025,C162:AB162)</f>
        <v>-64814</v>
      </c>
      <c r="AF162" s="243">
        <f t="shared" si="18"/>
        <v>816916</v>
      </c>
      <c r="AG162" s="243">
        <f t="shared" si="19"/>
        <v>1206628</v>
      </c>
      <c r="AI162" s="243">
        <f>VLOOKUP(A162,'OPEB Amounts_Report'!$A$10:$G$324,7,FALSE)</f>
        <v>816916</v>
      </c>
      <c r="AJ162" s="244">
        <f t="shared" si="26"/>
        <v>0</v>
      </c>
      <c r="AK162" s="244"/>
      <c r="AL162" s="354">
        <f t="shared" si="20"/>
        <v>10141</v>
      </c>
      <c r="AM162" s="243">
        <f t="shared" si="21"/>
        <v>-60980</v>
      </c>
      <c r="AN162" s="243">
        <f t="shared" si="22"/>
        <v>-6421</v>
      </c>
      <c r="AO162" s="243">
        <f t="shared" si="23"/>
        <v>6043</v>
      </c>
      <c r="AP162" s="243">
        <f t="shared" si="24"/>
        <v>-120939</v>
      </c>
      <c r="AQ162" s="243">
        <f t="shared" si="25"/>
        <v>-207415</v>
      </c>
    </row>
    <row r="163" spans="1:43">
      <c r="A163" s="59">
        <v>4570</v>
      </c>
      <c r="B163" s="63" t="s">
        <v>400</v>
      </c>
      <c r="C163" s="85">
        <f>_xlfn.XLOOKUP($A163,'Change in Proportion Calc'!$A$5:$A$311,'Change in Proportion Calc'!L$5:L$311,,0,)</f>
        <v>26966</v>
      </c>
      <c r="D163" s="85">
        <f>_xlfn.XLOOKUP($A163,'Change in Proportion Calc'!$A$5:$A$311,'Change in Proportion Calc'!M$5:M$311,,0,)</f>
        <v>26966</v>
      </c>
      <c r="E163" s="85">
        <f>_xlfn.XLOOKUP($A163,'Change in Proportion Calc'!$A$5:$A$311,'Change in Proportion Calc'!N$5:N$311,,0,)</f>
        <v>26966</v>
      </c>
      <c r="F163" s="85">
        <f>_xlfn.XLOOKUP($A163,'Change in Proportion Calc'!$A$5:$A$311,'Change in Proportion Calc'!O$5:O$311,,0,)</f>
        <v>26966</v>
      </c>
      <c r="G163" s="85">
        <f>_xlfn.XLOOKUP($A163,'Change in Proportion Calc'!$A$5:$A$311,'Change in Proportion Calc'!P$5:P$311,,0,)</f>
        <v>25076</v>
      </c>
      <c r="H163" s="228"/>
      <c r="I163" s="85">
        <v>-47665</v>
      </c>
      <c r="J163" s="85">
        <v>-47665</v>
      </c>
      <c r="K163" s="85">
        <v>-47665</v>
      </c>
      <c r="L163" s="85">
        <v>-47665</v>
      </c>
      <c r="M163" s="85">
        <v>-41467</v>
      </c>
      <c r="N163" s="85"/>
      <c r="O163" s="85">
        <v>53888</v>
      </c>
      <c r="P163" s="85">
        <v>53888</v>
      </c>
      <c r="Q163" s="85">
        <v>53888</v>
      </c>
      <c r="R163" s="85">
        <v>47958</v>
      </c>
      <c r="S163" s="228"/>
      <c r="T163" s="85">
        <v>57016</v>
      </c>
      <c r="U163" s="85">
        <v>57016</v>
      </c>
      <c r="V163" s="85">
        <v>55878</v>
      </c>
      <c r="W163" s="228"/>
      <c r="X163" s="243">
        <v>-50319</v>
      </c>
      <c r="Y163" s="244">
        <v>-49314</v>
      </c>
      <c r="Z163" s="62"/>
      <c r="AA163" s="141">
        <v>904808</v>
      </c>
      <c r="AD163" s="244">
        <f>VLOOKUP(A163,'Change in Proportion Calc'!$A$5:$H$311,8,FALSE)+SUMIF($C$5:$AB$5,2025,C163:AB163)</f>
        <v>944694</v>
      </c>
      <c r="AF163" s="243">
        <f t="shared" si="18"/>
        <v>401568</v>
      </c>
      <c r="AG163" s="243">
        <f t="shared" si="19"/>
        <v>233776</v>
      </c>
      <c r="AI163" s="243">
        <f>VLOOKUP(A163,'OPEB Amounts_Report'!$A$10:$G$324,7,FALSE)</f>
        <v>401568</v>
      </c>
      <c r="AJ163" s="244">
        <f t="shared" si="26"/>
        <v>0</v>
      </c>
      <c r="AK163" s="244"/>
      <c r="AL163" s="354">
        <f t="shared" si="20"/>
        <v>4570</v>
      </c>
      <c r="AM163" s="243">
        <f t="shared" si="21"/>
        <v>40891</v>
      </c>
      <c r="AN163" s="243">
        <f t="shared" si="22"/>
        <v>89067</v>
      </c>
      <c r="AO163" s="243">
        <f t="shared" si="23"/>
        <v>27259</v>
      </c>
      <c r="AP163" s="243">
        <f t="shared" si="24"/>
        <v>-14501</v>
      </c>
      <c r="AQ163" s="243">
        <f t="shared" si="25"/>
        <v>25076</v>
      </c>
    </row>
    <row r="164" spans="1:43">
      <c r="A164" s="61">
        <v>13369</v>
      </c>
      <c r="B164" s="62" t="s">
        <v>153</v>
      </c>
      <c r="C164" s="85">
        <f>_xlfn.XLOOKUP($A164,'Change in Proportion Calc'!$A$5:$A$311,'Change in Proportion Calc'!L$5:L$311,,0,)</f>
        <v>-848</v>
      </c>
      <c r="D164" s="85">
        <f>_xlfn.XLOOKUP($A164,'Change in Proportion Calc'!$A$5:$A$311,'Change in Proportion Calc'!M$5:M$311,,0,)</f>
        <v>-848</v>
      </c>
      <c r="E164" s="85">
        <f>_xlfn.XLOOKUP($A164,'Change in Proportion Calc'!$A$5:$A$311,'Change in Proportion Calc'!N$5:N$311,,0,)</f>
        <v>-848</v>
      </c>
      <c r="F164" s="85">
        <f>_xlfn.XLOOKUP($A164,'Change in Proportion Calc'!$A$5:$A$311,'Change in Proportion Calc'!O$5:O$311,,0,)</f>
        <v>-848</v>
      </c>
      <c r="G164" s="85">
        <f>_xlfn.XLOOKUP($A164,'Change in Proportion Calc'!$A$5:$A$311,'Change in Proportion Calc'!P$5:P$311,,0,)</f>
        <v>-787</v>
      </c>
      <c r="H164" s="228"/>
      <c r="I164" s="85">
        <v>-552</v>
      </c>
      <c r="J164" s="85">
        <v>-552</v>
      </c>
      <c r="K164" s="85">
        <v>-552</v>
      </c>
      <c r="L164" s="85">
        <v>-552</v>
      </c>
      <c r="M164" s="85">
        <v>-478</v>
      </c>
      <c r="N164" s="85"/>
      <c r="O164" s="85">
        <v>8280</v>
      </c>
      <c r="P164" s="85">
        <v>8280</v>
      </c>
      <c r="Q164" s="85">
        <v>8280</v>
      </c>
      <c r="R164" s="85">
        <v>7369</v>
      </c>
      <c r="S164" s="228"/>
      <c r="T164" s="85">
        <v>-13930</v>
      </c>
      <c r="U164" s="85">
        <v>-13930</v>
      </c>
      <c r="V164" s="85">
        <v>-13653</v>
      </c>
      <c r="W164" s="228"/>
      <c r="X164" s="243">
        <v>17689</v>
      </c>
      <c r="Y164" s="244">
        <v>17335</v>
      </c>
      <c r="Z164" s="62"/>
      <c r="AA164" s="141">
        <v>-1119</v>
      </c>
      <c r="AD164" s="244">
        <f>VLOOKUP(A164,'Change in Proportion Calc'!$A$5:$H$311,8,FALSE)+SUMIF($C$5:$AB$5,2025,C164:AB164)</f>
        <v>9520</v>
      </c>
      <c r="AF164" s="243">
        <f t="shared" si="18"/>
        <v>41264</v>
      </c>
      <c r="AG164" s="243">
        <f t="shared" si="19"/>
        <v>33896</v>
      </c>
      <c r="AI164" s="243">
        <f>VLOOKUP(A164,'OPEB Amounts_Report'!$A$10:$G$324,7,FALSE)</f>
        <v>41264</v>
      </c>
      <c r="AJ164" s="244">
        <f t="shared" si="26"/>
        <v>0</v>
      </c>
      <c r="AK164" s="244"/>
      <c r="AL164" s="354">
        <f t="shared" si="20"/>
        <v>13369</v>
      </c>
      <c r="AM164" s="243">
        <f t="shared" si="21"/>
        <v>10285</v>
      </c>
      <c r="AN164" s="243">
        <f t="shared" si="22"/>
        <v>-6773</v>
      </c>
      <c r="AO164" s="243">
        <f t="shared" si="23"/>
        <v>5969</v>
      </c>
      <c r="AP164" s="243">
        <f t="shared" si="24"/>
        <v>-1326</v>
      </c>
      <c r="AQ164" s="243">
        <f t="shared" si="25"/>
        <v>-787</v>
      </c>
    </row>
    <row r="165" spans="1:43">
      <c r="A165" s="59">
        <v>2425</v>
      </c>
      <c r="B165" s="63" t="s">
        <v>154</v>
      </c>
      <c r="C165" s="85">
        <f>_xlfn.XLOOKUP($A165,'Change in Proportion Calc'!$A$5:$A$311,'Change in Proportion Calc'!L$5:L$311,,0,)</f>
        <v>-284321</v>
      </c>
      <c r="D165" s="85">
        <f>_xlfn.XLOOKUP($A165,'Change in Proportion Calc'!$A$5:$A$311,'Change in Proportion Calc'!M$5:M$311,,0,)</f>
        <v>-284321</v>
      </c>
      <c r="E165" s="85">
        <f>_xlfn.XLOOKUP($A165,'Change in Proportion Calc'!$A$5:$A$311,'Change in Proportion Calc'!N$5:N$311,,0,)</f>
        <v>-284321</v>
      </c>
      <c r="F165" s="85">
        <f>_xlfn.XLOOKUP($A165,'Change in Proportion Calc'!$A$5:$A$311,'Change in Proportion Calc'!O$5:O$311,,0,)</f>
        <v>-284321</v>
      </c>
      <c r="G165" s="85">
        <f>_xlfn.XLOOKUP($A165,'Change in Proportion Calc'!$A$5:$A$311,'Change in Proportion Calc'!P$5:P$311,,0,)</f>
        <v>-264418</v>
      </c>
      <c r="H165" s="228"/>
      <c r="I165" s="85">
        <v>339061</v>
      </c>
      <c r="J165" s="85">
        <v>339061</v>
      </c>
      <c r="K165" s="85">
        <v>339061</v>
      </c>
      <c r="L165" s="85">
        <v>339061</v>
      </c>
      <c r="M165" s="85">
        <v>294985</v>
      </c>
      <c r="N165" s="85"/>
      <c r="O165" s="85">
        <v>583247</v>
      </c>
      <c r="P165" s="85">
        <v>583247</v>
      </c>
      <c r="Q165" s="85">
        <v>583247</v>
      </c>
      <c r="R165" s="85">
        <v>519089</v>
      </c>
      <c r="S165" s="228"/>
      <c r="T165" s="85">
        <v>259895</v>
      </c>
      <c r="U165" s="85">
        <v>259895</v>
      </c>
      <c r="V165" s="85">
        <v>254698</v>
      </c>
      <c r="W165" s="228"/>
      <c r="X165" s="243">
        <v>235625</v>
      </c>
      <c r="Y165" s="244">
        <v>230911</v>
      </c>
      <c r="Z165" s="62"/>
      <c r="AA165" s="141">
        <v>213534</v>
      </c>
      <c r="AD165" s="244">
        <f>VLOOKUP(A165,'Change in Proportion Calc'!$A$5:$H$311,8,FALSE)+SUMIF($C$5:$AB$5,2025,C165:AB165)</f>
        <v>1347041</v>
      </c>
      <c r="AF165" s="243">
        <f t="shared" si="18"/>
        <v>3743255</v>
      </c>
      <c r="AG165" s="243">
        <f t="shared" si="19"/>
        <v>1401702</v>
      </c>
      <c r="AI165" s="243">
        <f>VLOOKUP(A165,'OPEB Amounts_Report'!$A$10:$G$324,7,FALSE)</f>
        <v>3743255</v>
      </c>
      <c r="AJ165" s="244">
        <f t="shared" si="26"/>
        <v>0</v>
      </c>
      <c r="AK165" s="244"/>
      <c r="AL165" s="354">
        <f t="shared" si="20"/>
        <v>2425</v>
      </c>
      <c r="AM165" s="243">
        <f t="shared" si="21"/>
        <v>1128793</v>
      </c>
      <c r="AN165" s="243">
        <f t="shared" si="22"/>
        <v>892685</v>
      </c>
      <c r="AO165" s="243">
        <f t="shared" si="23"/>
        <v>573829</v>
      </c>
      <c r="AP165" s="243">
        <f t="shared" si="24"/>
        <v>10664</v>
      </c>
      <c r="AQ165" s="243">
        <f t="shared" si="25"/>
        <v>-264418</v>
      </c>
    </row>
    <row r="166" spans="1:43">
      <c r="A166" s="61">
        <v>1306</v>
      </c>
      <c r="B166" s="62" t="s">
        <v>155</v>
      </c>
      <c r="C166" s="85">
        <f>_xlfn.XLOOKUP($A166,'Change in Proportion Calc'!$A$5:$A$311,'Change in Proportion Calc'!L$5:L$311,,0,)</f>
        <v>-13318</v>
      </c>
      <c r="D166" s="85">
        <f>_xlfn.XLOOKUP($A166,'Change in Proportion Calc'!$A$5:$A$311,'Change in Proportion Calc'!M$5:M$311,,0,)</f>
        <v>-13318</v>
      </c>
      <c r="E166" s="85">
        <f>_xlfn.XLOOKUP($A166,'Change in Proportion Calc'!$A$5:$A$311,'Change in Proportion Calc'!N$5:N$311,,0,)</f>
        <v>-13318</v>
      </c>
      <c r="F166" s="85">
        <f>_xlfn.XLOOKUP($A166,'Change in Proportion Calc'!$A$5:$A$311,'Change in Proportion Calc'!O$5:O$311,,0,)</f>
        <v>-13318</v>
      </c>
      <c r="G166" s="85">
        <f>_xlfn.XLOOKUP($A166,'Change in Proportion Calc'!$A$5:$A$311,'Change in Proportion Calc'!P$5:P$311,,0,)</f>
        <v>-12387</v>
      </c>
      <c r="H166" s="228"/>
      <c r="I166" s="85">
        <v>-41346</v>
      </c>
      <c r="J166" s="85">
        <v>-41346</v>
      </c>
      <c r="K166" s="85">
        <v>-41346</v>
      </c>
      <c r="L166" s="85">
        <v>-41346</v>
      </c>
      <c r="M166" s="85">
        <v>-35972</v>
      </c>
      <c r="N166" s="85"/>
      <c r="O166" s="85">
        <v>31858</v>
      </c>
      <c r="P166" s="85">
        <v>31858</v>
      </c>
      <c r="Q166" s="85">
        <v>31858</v>
      </c>
      <c r="R166" s="85">
        <v>28352</v>
      </c>
      <c r="S166" s="228"/>
      <c r="T166" s="85">
        <v>17251</v>
      </c>
      <c r="U166" s="85">
        <v>17251</v>
      </c>
      <c r="V166" s="85">
        <v>16905</v>
      </c>
      <c r="W166" s="228"/>
      <c r="X166" s="243">
        <v>13653</v>
      </c>
      <c r="Y166" s="244">
        <v>13381</v>
      </c>
      <c r="Z166" s="62"/>
      <c r="AA166" s="141">
        <v>17201</v>
      </c>
      <c r="AD166" s="244">
        <f>VLOOKUP(A166,'Change in Proportion Calc'!$A$5:$H$311,8,FALSE)+SUMIF($C$5:$AB$5,2025,C166:AB166)</f>
        <v>25299</v>
      </c>
      <c r="AF166" s="243">
        <f t="shared" si="18"/>
        <v>139605</v>
      </c>
      <c r="AG166" s="243">
        <f t="shared" si="19"/>
        <v>225669</v>
      </c>
      <c r="AI166" s="243">
        <f>VLOOKUP(A166,'OPEB Amounts_Report'!$A$10:$G$324,7,FALSE)</f>
        <v>139605</v>
      </c>
      <c r="AJ166" s="244">
        <f t="shared" si="26"/>
        <v>0</v>
      </c>
      <c r="AK166" s="244"/>
      <c r="AL166" s="354">
        <f t="shared" si="20"/>
        <v>1306</v>
      </c>
      <c r="AM166" s="243">
        <f t="shared" si="21"/>
        <v>7826</v>
      </c>
      <c r="AN166" s="243">
        <f t="shared" si="22"/>
        <v>-5901</v>
      </c>
      <c r="AO166" s="243">
        <f t="shared" si="23"/>
        <v>-26312</v>
      </c>
      <c r="AP166" s="243">
        <f t="shared" si="24"/>
        <v>-49290</v>
      </c>
      <c r="AQ166" s="243">
        <f t="shared" si="25"/>
        <v>-12387</v>
      </c>
    </row>
    <row r="167" spans="1:43">
      <c r="A167" s="59">
        <v>2351</v>
      </c>
      <c r="B167" s="63" t="s">
        <v>156</v>
      </c>
      <c r="C167" s="85">
        <f>_xlfn.XLOOKUP($A167,'Change in Proportion Calc'!$A$5:$A$311,'Change in Proportion Calc'!L$5:L$311,,0,)</f>
        <v>-9884</v>
      </c>
      <c r="D167" s="85">
        <f>_xlfn.XLOOKUP($A167,'Change in Proportion Calc'!$A$5:$A$311,'Change in Proportion Calc'!M$5:M$311,,0,)</f>
        <v>-9884</v>
      </c>
      <c r="E167" s="85">
        <f>_xlfn.XLOOKUP($A167,'Change in Proportion Calc'!$A$5:$A$311,'Change in Proportion Calc'!N$5:N$311,,0,)</f>
        <v>-9884</v>
      </c>
      <c r="F167" s="85">
        <f>_xlfn.XLOOKUP($A167,'Change in Proportion Calc'!$A$5:$A$311,'Change in Proportion Calc'!O$5:O$311,,0,)</f>
        <v>-9884</v>
      </c>
      <c r="G167" s="85">
        <f>_xlfn.XLOOKUP($A167,'Change in Proportion Calc'!$A$5:$A$311,'Change in Proportion Calc'!P$5:P$311,,0,)</f>
        <v>-9190</v>
      </c>
      <c r="H167" s="228"/>
      <c r="I167" s="85">
        <v>41586</v>
      </c>
      <c r="J167" s="85">
        <v>41586</v>
      </c>
      <c r="K167" s="85">
        <v>41586</v>
      </c>
      <c r="L167" s="85">
        <v>41586</v>
      </c>
      <c r="M167" s="85">
        <v>36178</v>
      </c>
      <c r="N167" s="85"/>
      <c r="O167" s="85">
        <v>36309</v>
      </c>
      <c r="P167" s="85">
        <v>36309</v>
      </c>
      <c r="Q167" s="85">
        <v>36309</v>
      </c>
      <c r="R167" s="85">
        <v>32313</v>
      </c>
      <c r="S167" s="228"/>
      <c r="T167" s="85">
        <v>-5102</v>
      </c>
      <c r="U167" s="85">
        <v>-5102</v>
      </c>
      <c r="V167" s="85">
        <v>-5002</v>
      </c>
      <c r="W167" s="228"/>
      <c r="X167" s="243">
        <v>24215</v>
      </c>
      <c r="Y167" s="244">
        <v>23731</v>
      </c>
      <c r="Z167" s="62"/>
      <c r="AA167" s="141">
        <v>-373</v>
      </c>
      <c r="AD167" s="244">
        <f>VLOOKUP(A167,'Change in Proportion Calc'!$A$5:$H$311,8,FALSE)+SUMIF($C$5:$AB$5,2025,C167:AB167)</f>
        <v>86751</v>
      </c>
      <c r="AF167" s="243">
        <f t="shared" si="18"/>
        <v>289598</v>
      </c>
      <c r="AG167" s="243">
        <f t="shared" si="19"/>
        <v>58830</v>
      </c>
      <c r="AI167" s="243">
        <f>VLOOKUP(A167,'OPEB Amounts_Report'!$A$10:$G$324,7,FALSE)</f>
        <v>289598</v>
      </c>
      <c r="AJ167" s="244">
        <f t="shared" si="26"/>
        <v>0</v>
      </c>
      <c r="AK167" s="244"/>
      <c r="AL167" s="354">
        <f t="shared" si="20"/>
        <v>2351</v>
      </c>
      <c r="AM167" s="243">
        <f t="shared" si="21"/>
        <v>86640</v>
      </c>
      <c r="AN167" s="243">
        <f t="shared" si="22"/>
        <v>63009</v>
      </c>
      <c r="AO167" s="243">
        <f t="shared" si="23"/>
        <v>64015</v>
      </c>
      <c r="AP167" s="243">
        <f t="shared" si="24"/>
        <v>26294</v>
      </c>
      <c r="AQ167" s="243">
        <f t="shared" si="25"/>
        <v>-9190</v>
      </c>
    </row>
    <row r="168" spans="1:43">
      <c r="A168" s="61">
        <v>2334</v>
      </c>
      <c r="B168" s="62" t="s">
        <v>157</v>
      </c>
      <c r="C168" s="85">
        <f>_xlfn.XLOOKUP($A168,'Change in Proportion Calc'!$A$5:$A$311,'Change in Proportion Calc'!L$5:L$311,,0,)</f>
        <v>-3350</v>
      </c>
      <c r="D168" s="85">
        <f>_xlfn.XLOOKUP($A168,'Change in Proportion Calc'!$A$5:$A$311,'Change in Proportion Calc'!M$5:M$311,,0,)</f>
        <v>-3350</v>
      </c>
      <c r="E168" s="85">
        <f>_xlfn.XLOOKUP($A168,'Change in Proportion Calc'!$A$5:$A$311,'Change in Proportion Calc'!N$5:N$311,,0,)</f>
        <v>-3350</v>
      </c>
      <c r="F168" s="85">
        <f>_xlfn.XLOOKUP($A168,'Change in Proportion Calc'!$A$5:$A$311,'Change in Proportion Calc'!O$5:O$311,,0,)</f>
        <v>-3350</v>
      </c>
      <c r="G168" s="85">
        <f>_xlfn.XLOOKUP($A168,'Change in Proportion Calc'!$A$5:$A$311,'Change in Proportion Calc'!P$5:P$311,,0,)</f>
        <v>-3117</v>
      </c>
      <c r="H168" s="228"/>
      <c r="I168" s="85">
        <v>17653</v>
      </c>
      <c r="J168" s="85">
        <v>17653</v>
      </c>
      <c r="K168" s="85">
        <v>17653</v>
      </c>
      <c r="L168" s="85">
        <v>17653</v>
      </c>
      <c r="M168" s="85">
        <v>15356</v>
      </c>
      <c r="N168" s="85"/>
      <c r="O168" s="85">
        <v>27937</v>
      </c>
      <c r="P168" s="85">
        <v>27937</v>
      </c>
      <c r="Q168" s="85">
        <v>27937</v>
      </c>
      <c r="R168" s="85">
        <v>24866</v>
      </c>
      <c r="S168" s="228"/>
      <c r="T168" s="85">
        <v>-8828</v>
      </c>
      <c r="U168" s="85">
        <v>-8828</v>
      </c>
      <c r="V168" s="85">
        <v>-8651</v>
      </c>
      <c r="W168" s="228"/>
      <c r="X168" s="243">
        <v>6354</v>
      </c>
      <c r="Y168" s="244">
        <v>6229</v>
      </c>
      <c r="Z168" s="62"/>
      <c r="AA168" s="141">
        <v>11672</v>
      </c>
      <c r="AD168" s="244">
        <f>VLOOKUP(A168,'Change in Proportion Calc'!$A$5:$H$311,8,FALSE)+SUMIF($C$5:$AB$5,2025,C168:AB168)</f>
        <v>51438</v>
      </c>
      <c r="AF168" s="243">
        <f t="shared" si="18"/>
        <v>155284</v>
      </c>
      <c r="AG168" s="243">
        <f t="shared" si="19"/>
        <v>33996</v>
      </c>
      <c r="AI168" s="243">
        <f>VLOOKUP(A168,'OPEB Amounts_Report'!$A$10:$G$324,7,FALSE)</f>
        <v>155284</v>
      </c>
      <c r="AJ168" s="244">
        <f t="shared" si="26"/>
        <v>0</v>
      </c>
      <c r="AK168" s="244"/>
      <c r="AL168" s="354">
        <f t="shared" si="20"/>
        <v>2334</v>
      </c>
      <c r="AM168" s="243">
        <f t="shared" si="21"/>
        <v>39641</v>
      </c>
      <c r="AN168" s="243">
        <f t="shared" si="22"/>
        <v>33589</v>
      </c>
      <c r="AO168" s="243">
        <f t="shared" si="23"/>
        <v>39169</v>
      </c>
      <c r="AP168" s="243">
        <f t="shared" si="24"/>
        <v>12006</v>
      </c>
      <c r="AQ168" s="243">
        <f t="shared" si="25"/>
        <v>-3117</v>
      </c>
    </row>
    <row r="169" spans="1:43">
      <c r="A169" s="59">
        <v>30089</v>
      </c>
      <c r="B169" s="63" t="s">
        <v>158</v>
      </c>
      <c r="C169" s="85">
        <f>_xlfn.XLOOKUP($A169,'Change in Proportion Calc'!$A$5:$A$311,'Change in Proportion Calc'!L$5:L$311,,0,)</f>
        <v>-63419</v>
      </c>
      <c r="D169" s="85">
        <f>_xlfn.XLOOKUP($A169,'Change in Proportion Calc'!$A$5:$A$311,'Change in Proportion Calc'!M$5:M$311,,0,)</f>
        <v>-63419</v>
      </c>
      <c r="E169" s="85">
        <f>_xlfn.XLOOKUP($A169,'Change in Proportion Calc'!$A$5:$A$311,'Change in Proportion Calc'!N$5:N$311,,0,)</f>
        <v>-63419</v>
      </c>
      <c r="F169" s="85">
        <f>_xlfn.XLOOKUP($A169,'Change in Proportion Calc'!$A$5:$A$311,'Change in Proportion Calc'!O$5:O$311,,0,)</f>
        <v>-63419</v>
      </c>
      <c r="G169" s="85">
        <f>_xlfn.XLOOKUP($A169,'Change in Proportion Calc'!$A$5:$A$311,'Change in Proportion Calc'!P$5:P$311,,0,)</f>
        <v>-58982</v>
      </c>
      <c r="H169" s="228"/>
      <c r="I169" s="85">
        <v>33332</v>
      </c>
      <c r="J169" s="85">
        <v>33332</v>
      </c>
      <c r="K169" s="85">
        <v>33332</v>
      </c>
      <c r="L169" s="85">
        <v>33332</v>
      </c>
      <c r="M169" s="85">
        <v>28997</v>
      </c>
      <c r="N169" s="85"/>
      <c r="O169" s="85">
        <v>49319</v>
      </c>
      <c r="P169" s="85">
        <v>49319</v>
      </c>
      <c r="Q169" s="85">
        <v>49319</v>
      </c>
      <c r="R169" s="85">
        <v>43896</v>
      </c>
      <c r="S169" s="228"/>
      <c r="T169" s="85">
        <v>-17980</v>
      </c>
      <c r="U169" s="85">
        <v>-17980</v>
      </c>
      <c r="V169" s="85">
        <v>-17618</v>
      </c>
      <c r="W169" s="228"/>
      <c r="X169" s="243">
        <v>-47056</v>
      </c>
      <c r="Y169" s="244">
        <v>-46116</v>
      </c>
      <c r="Z169" s="62"/>
      <c r="AA169" s="141">
        <v>16642</v>
      </c>
      <c r="AD169" s="244">
        <f>VLOOKUP(A169,'Change in Proportion Calc'!$A$5:$H$311,8,FALSE)+SUMIF($C$5:$AB$5,2025,C169:AB169)</f>
        <v>-29162</v>
      </c>
      <c r="AF169" s="243">
        <f t="shared" si="18"/>
        <v>271527</v>
      </c>
      <c r="AG169" s="243">
        <f t="shared" si="19"/>
        <v>394372</v>
      </c>
      <c r="AI169" s="243">
        <f>VLOOKUP(A169,'OPEB Amounts_Report'!$A$10:$G$324,7,FALSE)</f>
        <v>271527</v>
      </c>
      <c r="AJ169" s="244">
        <f t="shared" si="26"/>
        <v>0</v>
      </c>
      <c r="AK169" s="244"/>
      <c r="AL169" s="354">
        <f t="shared" si="20"/>
        <v>30089</v>
      </c>
      <c r="AM169" s="243">
        <f t="shared" si="21"/>
        <v>-44864</v>
      </c>
      <c r="AN169" s="243">
        <f t="shared" si="22"/>
        <v>1614</v>
      </c>
      <c r="AO169" s="243">
        <f t="shared" si="23"/>
        <v>13809</v>
      </c>
      <c r="AP169" s="243">
        <f t="shared" si="24"/>
        <v>-34422</v>
      </c>
      <c r="AQ169" s="243">
        <f t="shared" si="25"/>
        <v>-58982</v>
      </c>
    </row>
    <row r="170" spans="1:43">
      <c r="A170" s="61">
        <v>9324</v>
      </c>
      <c r="B170" s="62" t="s">
        <v>159</v>
      </c>
      <c r="C170" s="85">
        <f>_xlfn.XLOOKUP($A170,'Change in Proportion Calc'!$A$5:$A$311,'Change in Proportion Calc'!L$5:L$311,,0,)</f>
        <v>-16762</v>
      </c>
      <c r="D170" s="85">
        <f>_xlfn.XLOOKUP($A170,'Change in Proportion Calc'!$A$5:$A$311,'Change in Proportion Calc'!M$5:M$311,,0,)</f>
        <v>-16762</v>
      </c>
      <c r="E170" s="85">
        <f>_xlfn.XLOOKUP($A170,'Change in Proportion Calc'!$A$5:$A$311,'Change in Proportion Calc'!N$5:N$311,,0,)</f>
        <v>-16762</v>
      </c>
      <c r="F170" s="85">
        <f>_xlfn.XLOOKUP($A170,'Change in Proportion Calc'!$A$5:$A$311,'Change in Proportion Calc'!O$5:O$311,,0,)</f>
        <v>-16762</v>
      </c>
      <c r="G170" s="85">
        <f>_xlfn.XLOOKUP($A170,'Change in Proportion Calc'!$A$5:$A$311,'Change in Proportion Calc'!P$5:P$311,,0,)</f>
        <v>-15587</v>
      </c>
      <c r="H170" s="228"/>
      <c r="I170" s="85">
        <v>15205</v>
      </c>
      <c r="J170" s="85">
        <v>15205</v>
      </c>
      <c r="K170" s="85">
        <v>15205</v>
      </c>
      <c r="L170" s="85">
        <v>15205</v>
      </c>
      <c r="M170" s="85">
        <v>13227</v>
      </c>
      <c r="N170" s="85"/>
      <c r="O170" s="85">
        <v>-9111</v>
      </c>
      <c r="P170" s="85">
        <v>-9111</v>
      </c>
      <c r="Q170" s="85">
        <v>-9111</v>
      </c>
      <c r="R170" s="85">
        <v>-8108</v>
      </c>
      <c r="S170" s="228"/>
      <c r="T170" s="85">
        <v>3483</v>
      </c>
      <c r="U170" s="85">
        <v>3483</v>
      </c>
      <c r="V170" s="85">
        <v>3411</v>
      </c>
      <c r="W170" s="228"/>
      <c r="X170" s="243">
        <v>15027</v>
      </c>
      <c r="Y170" s="244">
        <v>14727</v>
      </c>
      <c r="Z170" s="62"/>
      <c r="AA170" s="141">
        <v>6395</v>
      </c>
      <c r="AD170" s="244">
        <f>VLOOKUP(A170,'Change in Proportion Calc'!$A$5:$H$311,8,FALSE)+SUMIF($C$5:$AB$5,2025,C170:AB170)</f>
        <v>14237</v>
      </c>
      <c r="AF170" s="243">
        <f t="shared" si="18"/>
        <v>80463</v>
      </c>
      <c r="AG170" s="243">
        <f t="shared" si="19"/>
        <v>108965</v>
      </c>
      <c r="AI170" s="243">
        <f>VLOOKUP(A170,'OPEB Amounts_Report'!$A$10:$G$324,7,FALSE)</f>
        <v>80463</v>
      </c>
      <c r="AJ170" s="244">
        <f t="shared" si="26"/>
        <v>0</v>
      </c>
      <c r="AK170" s="244"/>
      <c r="AL170" s="354">
        <f t="shared" si="20"/>
        <v>9324</v>
      </c>
      <c r="AM170" s="243">
        <f t="shared" si="21"/>
        <v>7542</v>
      </c>
      <c r="AN170" s="243">
        <f t="shared" si="22"/>
        <v>-7257</v>
      </c>
      <c r="AO170" s="243">
        <f t="shared" si="23"/>
        <v>-9665</v>
      </c>
      <c r="AP170" s="243">
        <f t="shared" si="24"/>
        <v>-3535</v>
      </c>
      <c r="AQ170" s="243">
        <f t="shared" si="25"/>
        <v>-15587</v>
      </c>
    </row>
    <row r="171" spans="1:43">
      <c r="A171" s="59">
        <v>22066</v>
      </c>
      <c r="B171" s="63" t="s">
        <v>160</v>
      </c>
      <c r="C171" s="85">
        <f>_xlfn.XLOOKUP($A171,'Change in Proportion Calc'!$A$5:$A$311,'Change in Proportion Calc'!L$5:L$311,,0,)</f>
        <v>11173</v>
      </c>
      <c r="D171" s="85">
        <f>_xlfn.XLOOKUP($A171,'Change in Proportion Calc'!$A$5:$A$311,'Change in Proportion Calc'!M$5:M$311,,0,)</f>
        <v>11173</v>
      </c>
      <c r="E171" s="85">
        <f>_xlfn.XLOOKUP($A171,'Change in Proportion Calc'!$A$5:$A$311,'Change in Proportion Calc'!N$5:N$311,,0,)</f>
        <v>11173</v>
      </c>
      <c r="F171" s="85">
        <f>_xlfn.XLOOKUP($A171,'Change in Proportion Calc'!$A$5:$A$311,'Change in Proportion Calc'!O$5:O$311,,0,)</f>
        <v>11173</v>
      </c>
      <c r="G171" s="85">
        <f>_xlfn.XLOOKUP($A171,'Change in Proportion Calc'!$A$5:$A$311,'Change in Proportion Calc'!P$5:P$311,,0,)</f>
        <v>10389</v>
      </c>
      <c r="H171" s="228"/>
      <c r="I171" s="85">
        <v>240185</v>
      </c>
      <c r="J171" s="85">
        <v>240185</v>
      </c>
      <c r="K171" s="85">
        <v>240185</v>
      </c>
      <c r="L171" s="85">
        <v>240185</v>
      </c>
      <c r="M171" s="85">
        <v>208960</v>
      </c>
      <c r="N171" s="85"/>
      <c r="O171" s="85">
        <v>-41746</v>
      </c>
      <c r="P171" s="85">
        <v>-41746</v>
      </c>
      <c r="Q171" s="85">
        <v>-41746</v>
      </c>
      <c r="R171" s="85">
        <v>-37155</v>
      </c>
      <c r="S171" s="228"/>
      <c r="T171" s="85">
        <v>92490</v>
      </c>
      <c r="U171" s="85">
        <v>92490</v>
      </c>
      <c r="V171" s="85">
        <v>90640</v>
      </c>
      <c r="W171" s="228"/>
      <c r="X171" s="243">
        <v>43879</v>
      </c>
      <c r="Y171" s="244">
        <v>43002</v>
      </c>
      <c r="Z171" s="62"/>
      <c r="AA171" s="141">
        <v>-75130</v>
      </c>
      <c r="AD171" s="244">
        <f>VLOOKUP(A171,'Change in Proportion Calc'!$A$5:$H$311,8,FALSE)+SUMIF($C$5:$AB$5,2025,C171:AB171)</f>
        <v>270851</v>
      </c>
      <c r="AF171" s="243">
        <f t="shared" si="18"/>
        <v>1210728</v>
      </c>
      <c r="AG171" s="243">
        <f t="shared" si="19"/>
        <v>120647</v>
      </c>
      <c r="AI171" s="243">
        <f>VLOOKUP(A171,'OPEB Amounts_Report'!$A$10:$G$324,7,FALSE)</f>
        <v>1210728</v>
      </c>
      <c r="AJ171" s="244">
        <f t="shared" si="26"/>
        <v>0</v>
      </c>
      <c r="AK171" s="244"/>
      <c r="AL171" s="354">
        <f t="shared" si="20"/>
        <v>22066</v>
      </c>
      <c r="AM171" s="243">
        <f t="shared" si="21"/>
        <v>345104</v>
      </c>
      <c r="AN171" s="243">
        <f t="shared" si="22"/>
        <v>300252</v>
      </c>
      <c r="AO171" s="243">
        <f t="shared" si="23"/>
        <v>214203</v>
      </c>
      <c r="AP171" s="243">
        <f t="shared" si="24"/>
        <v>220133</v>
      </c>
      <c r="AQ171" s="243">
        <f t="shared" si="25"/>
        <v>10389</v>
      </c>
    </row>
    <row r="172" spans="1:43">
      <c r="A172" s="61">
        <v>16356</v>
      </c>
      <c r="B172" s="62" t="s">
        <v>161</v>
      </c>
      <c r="C172" s="85">
        <f>_xlfn.XLOOKUP($A172,'Change in Proportion Calc'!$A$5:$A$311,'Change in Proportion Calc'!L$5:L$311,,0,)</f>
        <v>2799</v>
      </c>
      <c r="D172" s="85">
        <f>_xlfn.XLOOKUP($A172,'Change in Proportion Calc'!$A$5:$A$311,'Change in Proportion Calc'!M$5:M$311,,0,)</f>
        <v>2799</v>
      </c>
      <c r="E172" s="85">
        <f>_xlfn.XLOOKUP($A172,'Change in Proportion Calc'!$A$5:$A$311,'Change in Proportion Calc'!N$5:N$311,,0,)</f>
        <v>2799</v>
      </c>
      <c r="F172" s="85">
        <f>_xlfn.XLOOKUP($A172,'Change in Proportion Calc'!$A$5:$A$311,'Change in Proportion Calc'!O$5:O$311,,0,)</f>
        <v>2799</v>
      </c>
      <c r="G172" s="85">
        <f>_xlfn.XLOOKUP($A172,'Change in Proportion Calc'!$A$5:$A$311,'Change in Proportion Calc'!P$5:P$311,,0,)</f>
        <v>2604</v>
      </c>
      <c r="H172" s="228"/>
      <c r="I172" s="85">
        <v>12646</v>
      </c>
      <c r="J172" s="85">
        <v>12646</v>
      </c>
      <c r="K172" s="85">
        <v>12646</v>
      </c>
      <c r="L172" s="85">
        <v>12646</v>
      </c>
      <c r="M172" s="85">
        <v>11000</v>
      </c>
      <c r="N172" s="85"/>
      <c r="O172" s="85">
        <v>-3748</v>
      </c>
      <c r="P172" s="85">
        <v>-3748</v>
      </c>
      <c r="Q172" s="85">
        <v>-3748</v>
      </c>
      <c r="R172" s="85">
        <v>-3338</v>
      </c>
      <c r="S172" s="228"/>
      <c r="T172" s="85">
        <v>11500</v>
      </c>
      <c r="U172" s="85">
        <v>11500</v>
      </c>
      <c r="V172" s="85">
        <v>11272</v>
      </c>
      <c r="W172" s="228"/>
      <c r="X172" s="243">
        <v>6698</v>
      </c>
      <c r="Y172" s="244">
        <v>6563</v>
      </c>
      <c r="Z172" s="62"/>
      <c r="AA172" s="141">
        <v>-7760</v>
      </c>
      <c r="AD172" s="244">
        <f>VLOOKUP(A172,'Change in Proportion Calc'!$A$5:$H$311,8,FALSE)+SUMIF($C$5:$AB$5,2025,C172:AB172)</f>
        <v>22135</v>
      </c>
      <c r="AF172" s="243">
        <f t="shared" si="18"/>
        <v>92073</v>
      </c>
      <c r="AG172" s="243">
        <f t="shared" si="19"/>
        <v>10834</v>
      </c>
      <c r="AI172" s="243">
        <f>VLOOKUP(A172,'OPEB Amounts_Report'!$A$10:$G$324,7,FALSE)</f>
        <v>92073</v>
      </c>
      <c r="AJ172" s="244">
        <f t="shared" si="26"/>
        <v>0</v>
      </c>
      <c r="AK172" s="244"/>
      <c r="AL172" s="354">
        <f t="shared" si="20"/>
        <v>16356</v>
      </c>
      <c r="AM172" s="243">
        <f t="shared" si="21"/>
        <v>29760</v>
      </c>
      <c r="AN172" s="243">
        <f t="shared" si="22"/>
        <v>22969</v>
      </c>
      <c r="AO172" s="243">
        <f t="shared" si="23"/>
        <v>12107</v>
      </c>
      <c r="AP172" s="243">
        <f t="shared" si="24"/>
        <v>13799</v>
      </c>
      <c r="AQ172" s="243">
        <f t="shared" si="25"/>
        <v>2604</v>
      </c>
    </row>
    <row r="173" spans="1:43">
      <c r="A173" s="59">
        <v>31091</v>
      </c>
      <c r="B173" s="63" t="s">
        <v>162</v>
      </c>
      <c r="C173" s="85">
        <f>_xlfn.XLOOKUP($A173,'Change in Proportion Calc'!$A$5:$A$311,'Change in Proportion Calc'!L$5:L$311,,0,)</f>
        <v>-3377</v>
      </c>
      <c r="D173" s="85">
        <f>_xlfn.XLOOKUP($A173,'Change in Proportion Calc'!$A$5:$A$311,'Change in Proportion Calc'!M$5:M$311,,0,)</f>
        <v>-3377</v>
      </c>
      <c r="E173" s="85">
        <f>_xlfn.XLOOKUP($A173,'Change in Proportion Calc'!$A$5:$A$311,'Change in Proportion Calc'!N$5:N$311,,0,)</f>
        <v>-3377</v>
      </c>
      <c r="F173" s="85">
        <f>_xlfn.XLOOKUP($A173,'Change in Proportion Calc'!$A$5:$A$311,'Change in Proportion Calc'!O$5:O$311,,0,)</f>
        <v>-3377</v>
      </c>
      <c r="G173" s="85">
        <f>_xlfn.XLOOKUP($A173,'Change in Proportion Calc'!$A$5:$A$311,'Change in Proportion Calc'!P$5:P$311,,0,)</f>
        <v>-3138</v>
      </c>
      <c r="H173" s="228"/>
      <c r="I173" s="85">
        <v>19426</v>
      </c>
      <c r="J173" s="85">
        <v>19426</v>
      </c>
      <c r="K173" s="85">
        <v>19426</v>
      </c>
      <c r="L173" s="85">
        <v>19426</v>
      </c>
      <c r="M173" s="85">
        <v>16901</v>
      </c>
      <c r="N173" s="85"/>
      <c r="O173" s="85">
        <v>-5170</v>
      </c>
      <c r="P173" s="85">
        <v>-5170</v>
      </c>
      <c r="Q173" s="85">
        <v>-5170</v>
      </c>
      <c r="R173" s="85">
        <v>-4599</v>
      </c>
      <c r="S173" s="228"/>
      <c r="T173" s="85">
        <v>32153</v>
      </c>
      <c r="U173" s="85">
        <v>32153</v>
      </c>
      <c r="V173" s="85">
        <v>31509</v>
      </c>
      <c r="W173" s="228"/>
      <c r="X173" s="243">
        <v>-12451</v>
      </c>
      <c r="Y173" s="244">
        <v>-12202</v>
      </c>
      <c r="Z173" s="62"/>
      <c r="AA173" s="141">
        <v>8136</v>
      </c>
      <c r="AD173" s="244">
        <f>VLOOKUP(A173,'Change in Proportion Calc'!$A$5:$H$311,8,FALSE)+SUMIF($C$5:$AB$5,2025,C173:AB173)</f>
        <v>38717</v>
      </c>
      <c r="AF173" s="243">
        <f t="shared" si="18"/>
        <v>138841</v>
      </c>
      <c r="AG173" s="243">
        <f t="shared" si="19"/>
        <v>43787</v>
      </c>
      <c r="AI173" s="243">
        <f>VLOOKUP(A173,'OPEB Amounts_Report'!$A$10:$G$324,7,FALSE)</f>
        <v>138841</v>
      </c>
      <c r="AJ173" s="244">
        <f t="shared" si="26"/>
        <v>0</v>
      </c>
      <c r="AK173" s="244"/>
      <c r="AL173" s="354">
        <f t="shared" si="20"/>
        <v>31091</v>
      </c>
      <c r="AM173" s="243">
        <f t="shared" si="21"/>
        <v>30830</v>
      </c>
      <c r="AN173" s="243">
        <f t="shared" si="22"/>
        <v>42388</v>
      </c>
      <c r="AO173" s="243">
        <f t="shared" si="23"/>
        <v>11450</v>
      </c>
      <c r="AP173" s="243">
        <f t="shared" si="24"/>
        <v>13524</v>
      </c>
      <c r="AQ173" s="243">
        <f t="shared" si="25"/>
        <v>-3138</v>
      </c>
    </row>
    <row r="174" spans="1:43">
      <c r="A174" s="61">
        <v>2342</v>
      </c>
      <c r="B174" s="62" t="s">
        <v>163</v>
      </c>
      <c r="C174" s="85">
        <f>_xlfn.XLOOKUP($A174,'Change in Proportion Calc'!$A$5:$A$311,'Change in Proportion Calc'!L$5:L$311,,0,)</f>
        <v>-21612</v>
      </c>
      <c r="D174" s="85">
        <f>_xlfn.XLOOKUP($A174,'Change in Proportion Calc'!$A$5:$A$311,'Change in Proportion Calc'!M$5:M$311,,0,)</f>
        <v>-21612</v>
      </c>
      <c r="E174" s="85">
        <f>_xlfn.XLOOKUP($A174,'Change in Proportion Calc'!$A$5:$A$311,'Change in Proportion Calc'!N$5:N$311,,0,)</f>
        <v>-21612</v>
      </c>
      <c r="F174" s="85">
        <f>_xlfn.XLOOKUP($A174,'Change in Proportion Calc'!$A$5:$A$311,'Change in Proportion Calc'!O$5:O$311,,0,)</f>
        <v>-21612</v>
      </c>
      <c r="G174" s="85">
        <f>_xlfn.XLOOKUP($A174,'Change in Proportion Calc'!$A$5:$A$311,'Change in Proportion Calc'!P$5:P$311,,0,)</f>
        <v>-20100</v>
      </c>
      <c r="H174" s="228"/>
      <c r="I174" s="85">
        <v>32064</v>
      </c>
      <c r="J174" s="85">
        <v>32064</v>
      </c>
      <c r="K174" s="85">
        <v>32064</v>
      </c>
      <c r="L174" s="85">
        <v>32064</v>
      </c>
      <c r="M174" s="85">
        <v>27896</v>
      </c>
      <c r="N174" s="85"/>
      <c r="O174" s="85">
        <v>16929</v>
      </c>
      <c r="P174" s="85">
        <v>16929</v>
      </c>
      <c r="Q174" s="85">
        <v>16929</v>
      </c>
      <c r="R174" s="85">
        <v>15067</v>
      </c>
      <c r="S174" s="228"/>
      <c r="T174" s="85">
        <v>35797</v>
      </c>
      <c r="U174" s="85">
        <v>35797</v>
      </c>
      <c r="V174" s="85">
        <v>35083</v>
      </c>
      <c r="W174" s="228"/>
      <c r="X174" s="243">
        <v>9102</v>
      </c>
      <c r="Y174" s="244">
        <v>8921</v>
      </c>
      <c r="Z174" s="62"/>
      <c r="AA174" s="141">
        <v>808</v>
      </c>
      <c r="AD174" s="244">
        <f>VLOOKUP(A174,'Change in Proportion Calc'!$A$5:$H$311,8,FALSE)+SUMIF($C$5:$AB$5,2025,C174:AB174)</f>
        <v>73088</v>
      </c>
      <c r="AF174" s="243">
        <f t="shared" si="18"/>
        <v>252814</v>
      </c>
      <c r="AG174" s="243">
        <f t="shared" si="19"/>
        <v>106548</v>
      </c>
      <c r="AI174" s="243">
        <f>VLOOKUP(A174,'OPEB Amounts_Report'!$A$10:$G$324,7,FALSE)</f>
        <v>252814</v>
      </c>
      <c r="AJ174" s="244">
        <f t="shared" si="26"/>
        <v>0</v>
      </c>
      <c r="AK174" s="244"/>
      <c r="AL174" s="354">
        <f t="shared" si="20"/>
        <v>2342</v>
      </c>
      <c r="AM174" s="243">
        <f t="shared" si="21"/>
        <v>72099</v>
      </c>
      <c r="AN174" s="243">
        <f t="shared" si="22"/>
        <v>62464</v>
      </c>
      <c r="AO174" s="243">
        <f t="shared" si="23"/>
        <v>25519</v>
      </c>
      <c r="AP174" s="243">
        <f t="shared" si="24"/>
        <v>6284</v>
      </c>
      <c r="AQ174" s="243">
        <f t="shared" si="25"/>
        <v>-20100</v>
      </c>
    </row>
    <row r="175" spans="1:43">
      <c r="A175" s="59">
        <v>22067</v>
      </c>
      <c r="B175" s="63" t="s">
        <v>164</v>
      </c>
      <c r="C175" s="85">
        <f>_xlfn.XLOOKUP($A175,'Change in Proportion Calc'!$A$5:$A$311,'Change in Proportion Calc'!L$5:L$311,,0,)</f>
        <v>-30767</v>
      </c>
      <c r="D175" s="85">
        <f>_xlfn.XLOOKUP($A175,'Change in Proportion Calc'!$A$5:$A$311,'Change in Proportion Calc'!M$5:M$311,,0,)</f>
        <v>-30767</v>
      </c>
      <c r="E175" s="85">
        <f>_xlfn.XLOOKUP($A175,'Change in Proportion Calc'!$A$5:$A$311,'Change in Proportion Calc'!N$5:N$311,,0,)</f>
        <v>-30767</v>
      </c>
      <c r="F175" s="85">
        <f>_xlfn.XLOOKUP($A175,'Change in Proportion Calc'!$A$5:$A$311,'Change in Proportion Calc'!O$5:O$311,,0,)</f>
        <v>-30767</v>
      </c>
      <c r="G175" s="85">
        <f>_xlfn.XLOOKUP($A175,'Change in Proportion Calc'!$A$5:$A$311,'Change in Proportion Calc'!P$5:P$311,,0,)</f>
        <v>-28615</v>
      </c>
      <c r="H175" s="228"/>
      <c r="I175" s="85">
        <v>43379</v>
      </c>
      <c r="J175" s="85">
        <v>43379</v>
      </c>
      <c r="K175" s="85">
        <v>43379</v>
      </c>
      <c r="L175" s="85">
        <v>43379</v>
      </c>
      <c r="M175" s="85">
        <v>37739</v>
      </c>
      <c r="N175" s="85"/>
      <c r="O175" s="85">
        <v>16793</v>
      </c>
      <c r="P175" s="85">
        <v>16793</v>
      </c>
      <c r="Q175" s="85">
        <v>16793</v>
      </c>
      <c r="R175" s="85">
        <v>14945</v>
      </c>
      <c r="S175" s="228"/>
      <c r="T175" s="85">
        <v>-45273</v>
      </c>
      <c r="U175" s="85">
        <v>-45273</v>
      </c>
      <c r="V175" s="85">
        <v>-44368</v>
      </c>
      <c r="W175" s="228"/>
      <c r="X175" s="243">
        <v>94198</v>
      </c>
      <c r="Y175" s="244">
        <v>92316</v>
      </c>
      <c r="Z175" s="62"/>
      <c r="AA175" s="141">
        <v>-30734</v>
      </c>
      <c r="AD175" s="244">
        <f>VLOOKUP(A175,'Change in Proportion Calc'!$A$5:$H$311,8,FALSE)+SUMIF($C$5:$AB$5,2025,C175:AB175)</f>
        <v>47596</v>
      </c>
      <c r="AF175" s="243">
        <f t="shared" si="18"/>
        <v>308723</v>
      </c>
      <c r="AG175" s="243">
        <f t="shared" si="19"/>
        <v>241324</v>
      </c>
      <c r="AI175" s="243">
        <f>VLOOKUP(A175,'OPEB Amounts_Report'!$A$10:$G$324,7,FALSE)</f>
        <v>308723</v>
      </c>
      <c r="AJ175" s="244">
        <f t="shared" si="26"/>
        <v>0</v>
      </c>
      <c r="AK175" s="244"/>
      <c r="AL175" s="354">
        <f t="shared" si="20"/>
        <v>22067</v>
      </c>
      <c r="AM175" s="243">
        <f t="shared" si="21"/>
        <v>76448</v>
      </c>
      <c r="AN175" s="243">
        <f t="shared" si="22"/>
        <v>-14963</v>
      </c>
      <c r="AO175" s="243">
        <f t="shared" si="23"/>
        <v>27557</v>
      </c>
      <c r="AP175" s="243">
        <f t="shared" si="24"/>
        <v>6972</v>
      </c>
      <c r="AQ175" s="243">
        <f t="shared" si="25"/>
        <v>-28615</v>
      </c>
    </row>
    <row r="176" spans="1:43">
      <c r="A176" s="61">
        <v>32112</v>
      </c>
      <c r="B176" s="62" t="s">
        <v>165</v>
      </c>
      <c r="C176" s="85">
        <f>_xlfn.XLOOKUP($A176,'Change in Proportion Calc'!$A$5:$A$311,'Change in Proportion Calc'!L$5:L$311,,0,)</f>
        <v>-15241</v>
      </c>
      <c r="D176" s="85">
        <f>_xlfn.XLOOKUP($A176,'Change in Proportion Calc'!$A$5:$A$311,'Change in Proportion Calc'!M$5:M$311,,0,)</f>
        <v>-15241</v>
      </c>
      <c r="E176" s="85">
        <f>_xlfn.XLOOKUP($A176,'Change in Proportion Calc'!$A$5:$A$311,'Change in Proportion Calc'!N$5:N$311,,0,)</f>
        <v>-15241</v>
      </c>
      <c r="F176" s="85">
        <f>_xlfn.XLOOKUP($A176,'Change in Proportion Calc'!$A$5:$A$311,'Change in Proportion Calc'!O$5:O$311,,0,)</f>
        <v>-15241</v>
      </c>
      <c r="G176" s="85">
        <f>_xlfn.XLOOKUP($A176,'Change in Proportion Calc'!$A$5:$A$311,'Change in Proportion Calc'!P$5:P$311,,0,)</f>
        <v>-14175</v>
      </c>
      <c r="H176" s="228"/>
      <c r="I176" s="85">
        <v>-21613</v>
      </c>
      <c r="J176" s="85">
        <v>-21613</v>
      </c>
      <c r="K176" s="85">
        <v>-21613</v>
      </c>
      <c r="L176" s="85">
        <v>-21613</v>
      </c>
      <c r="M176" s="85">
        <v>-18805</v>
      </c>
      <c r="N176" s="85"/>
      <c r="O176" s="85">
        <v>-11952</v>
      </c>
      <c r="P176" s="85">
        <v>-11952</v>
      </c>
      <c r="Q176" s="85">
        <v>-11952</v>
      </c>
      <c r="R176" s="85">
        <v>-10635</v>
      </c>
      <c r="S176" s="228"/>
      <c r="T176" s="85">
        <v>10286</v>
      </c>
      <c r="U176" s="85">
        <v>10286</v>
      </c>
      <c r="V176" s="85">
        <v>10078</v>
      </c>
      <c r="W176" s="228"/>
      <c r="X176" s="243">
        <v>-10047</v>
      </c>
      <c r="Y176" s="244">
        <v>-9844</v>
      </c>
      <c r="Z176" s="62"/>
      <c r="AA176" s="141">
        <v>-2358</v>
      </c>
      <c r="AD176" s="244">
        <f>VLOOKUP(A176,'Change in Proportion Calc'!$A$5:$H$311,8,FALSE)+SUMIF($C$5:$AB$5,2025,C176:AB176)</f>
        <v>-50925</v>
      </c>
      <c r="AF176" s="243">
        <f t="shared" si="18"/>
        <v>20364</v>
      </c>
      <c r="AG176" s="243">
        <f t="shared" si="19"/>
        <v>203166</v>
      </c>
      <c r="AI176" s="243">
        <f>VLOOKUP(A176,'OPEB Amounts_Report'!$A$10:$G$324,7,FALSE)</f>
        <v>20364</v>
      </c>
      <c r="AJ176" s="244">
        <f t="shared" si="26"/>
        <v>0</v>
      </c>
      <c r="AK176" s="244"/>
      <c r="AL176" s="354">
        <f t="shared" si="20"/>
        <v>32112</v>
      </c>
      <c r="AM176" s="243">
        <f t="shared" si="21"/>
        <v>-48364</v>
      </c>
      <c r="AN176" s="243">
        <f t="shared" si="22"/>
        <v>-38728</v>
      </c>
      <c r="AO176" s="243">
        <f t="shared" si="23"/>
        <v>-47489</v>
      </c>
      <c r="AP176" s="243">
        <f t="shared" si="24"/>
        <v>-34046</v>
      </c>
      <c r="AQ176" s="243">
        <f t="shared" si="25"/>
        <v>-14175</v>
      </c>
    </row>
    <row r="177" spans="1:43">
      <c r="A177" s="59">
        <v>2354</v>
      </c>
      <c r="B177" s="63" t="s">
        <v>166</v>
      </c>
      <c r="C177" s="85">
        <f>_xlfn.XLOOKUP($A177,'Change in Proportion Calc'!$A$5:$A$311,'Change in Proportion Calc'!L$5:L$311,,0,)</f>
        <v>1476</v>
      </c>
      <c r="D177" s="85">
        <f>_xlfn.XLOOKUP($A177,'Change in Proportion Calc'!$A$5:$A$311,'Change in Proportion Calc'!M$5:M$311,,0,)</f>
        <v>1476</v>
      </c>
      <c r="E177" s="85">
        <f>_xlfn.XLOOKUP($A177,'Change in Proportion Calc'!$A$5:$A$311,'Change in Proportion Calc'!N$5:N$311,,0,)</f>
        <v>1476</v>
      </c>
      <c r="F177" s="85">
        <f>_xlfn.XLOOKUP($A177,'Change in Proportion Calc'!$A$5:$A$311,'Change in Proportion Calc'!O$5:O$311,,0,)</f>
        <v>1476</v>
      </c>
      <c r="G177" s="85">
        <f>_xlfn.XLOOKUP($A177,'Change in Proportion Calc'!$A$5:$A$311,'Change in Proportion Calc'!P$5:P$311,,0,)</f>
        <v>1371</v>
      </c>
      <c r="H177" s="228"/>
      <c r="I177" s="85">
        <v>-30262</v>
      </c>
      <c r="J177" s="85">
        <v>-30262</v>
      </c>
      <c r="K177" s="85">
        <v>-30262</v>
      </c>
      <c r="L177" s="85">
        <v>-30262</v>
      </c>
      <c r="M177" s="85">
        <v>-26327</v>
      </c>
      <c r="N177" s="85"/>
      <c r="O177" s="85">
        <v>76403</v>
      </c>
      <c r="P177" s="85">
        <v>76403</v>
      </c>
      <c r="Q177" s="85">
        <v>76403</v>
      </c>
      <c r="R177" s="85">
        <v>68001</v>
      </c>
      <c r="S177" s="228"/>
      <c r="T177" s="85">
        <v>-2187</v>
      </c>
      <c r="U177" s="85">
        <v>-2187</v>
      </c>
      <c r="V177" s="85">
        <v>-2142</v>
      </c>
      <c r="W177" s="228"/>
      <c r="X177" s="243">
        <v>-5324</v>
      </c>
      <c r="Y177" s="244">
        <v>-5217</v>
      </c>
      <c r="Z177" s="62"/>
      <c r="AA177" s="141">
        <v>6769</v>
      </c>
      <c r="AD177" s="244">
        <f>VLOOKUP(A177,'Change in Proportion Calc'!$A$5:$H$311,8,FALSE)+SUMIF($C$5:$AB$5,2025,C177:AB177)</f>
        <v>46875</v>
      </c>
      <c r="AF177" s="243">
        <f t="shared" si="18"/>
        <v>228082</v>
      </c>
      <c r="AG177" s="243">
        <f t="shared" si="19"/>
        <v>126659</v>
      </c>
      <c r="AI177" s="243">
        <f>VLOOKUP(A177,'OPEB Amounts_Report'!$A$10:$G$324,7,FALSE)</f>
        <v>228082</v>
      </c>
      <c r="AJ177" s="244">
        <f t="shared" si="26"/>
        <v>0</v>
      </c>
      <c r="AK177" s="244"/>
      <c r="AL177" s="354">
        <f t="shared" si="20"/>
        <v>2354</v>
      </c>
      <c r="AM177" s="243">
        <f t="shared" si="21"/>
        <v>40213</v>
      </c>
      <c r="AN177" s="243">
        <f t="shared" si="22"/>
        <v>45475</v>
      </c>
      <c r="AO177" s="243">
        <f t="shared" si="23"/>
        <v>39215</v>
      </c>
      <c r="AP177" s="243">
        <f t="shared" si="24"/>
        <v>-24851</v>
      </c>
      <c r="AQ177" s="243">
        <f t="shared" si="25"/>
        <v>1371</v>
      </c>
    </row>
    <row r="178" spans="1:43">
      <c r="A178" s="61">
        <v>2148</v>
      </c>
      <c r="B178" s="62" t="s">
        <v>167</v>
      </c>
      <c r="C178" s="85">
        <f>_xlfn.XLOOKUP($A178,'Change in Proportion Calc'!$A$5:$A$311,'Change in Proportion Calc'!L$5:L$311,,0,)</f>
        <v>-1604</v>
      </c>
      <c r="D178" s="85">
        <f>_xlfn.XLOOKUP($A178,'Change in Proportion Calc'!$A$5:$A$311,'Change in Proportion Calc'!M$5:M$311,,0,)</f>
        <v>-1604</v>
      </c>
      <c r="E178" s="85">
        <f>_xlfn.XLOOKUP($A178,'Change in Proportion Calc'!$A$5:$A$311,'Change in Proportion Calc'!N$5:N$311,,0,)</f>
        <v>-1604</v>
      </c>
      <c r="F178" s="85">
        <f>_xlfn.XLOOKUP($A178,'Change in Proportion Calc'!$A$5:$A$311,'Change in Proportion Calc'!O$5:O$311,,0,)</f>
        <v>-1604</v>
      </c>
      <c r="G178" s="85">
        <f>_xlfn.XLOOKUP($A178,'Change in Proportion Calc'!$A$5:$A$311,'Change in Proportion Calc'!P$5:P$311,,0,)</f>
        <v>-1490</v>
      </c>
      <c r="H178" s="228"/>
      <c r="I178" s="85">
        <v>-9927</v>
      </c>
      <c r="J178" s="85">
        <v>-9927</v>
      </c>
      <c r="K178" s="85">
        <v>-9927</v>
      </c>
      <c r="L178" s="85">
        <v>-9927</v>
      </c>
      <c r="M178" s="85">
        <v>-8637</v>
      </c>
      <c r="N178" s="85"/>
      <c r="O178" s="85">
        <v>-5564</v>
      </c>
      <c r="P178" s="85">
        <v>-5564</v>
      </c>
      <c r="Q178" s="85">
        <v>-5564</v>
      </c>
      <c r="R178" s="85">
        <v>-4952</v>
      </c>
      <c r="S178" s="228"/>
      <c r="T178" s="85">
        <v>-162</v>
      </c>
      <c r="U178" s="85">
        <v>-162</v>
      </c>
      <c r="V178" s="85">
        <v>-159</v>
      </c>
      <c r="W178" s="228"/>
      <c r="X178" s="243">
        <v>-10562</v>
      </c>
      <c r="Y178" s="244">
        <v>-10350</v>
      </c>
      <c r="Z178" s="62"/>
      <c r="AA178" s="141">
        <v>3789</v>
      </c>
      <c r="AD178" s="244">
        <f>VLOOKUP(A178,'Change in Proportion Calc'!$A$5:$H$311,8,FALSE)+SUMIF($C$5:$AB$5,2025,C178:AB178)</f>
        <v>-24030</v>
      </c>
      <c r="AF178" s="243">
        <f t="shared" si="18"/>
        <v>0</v>
      </c>
      <c r="AG178" s="243">
        <f t="shared" si="19"/>
        <v>73075</v>
      </c>
      <c r="AI178" s="243">
        <f>VLOOKUP(A178,'OPEB Amounts_Report'!$A$10:$G$324,7,FALSE)</f>
        <v>0</v>
      </c>
      <c r="AJ178" s="244">
        <f t="shared" si="26"/>
        <v>0</v>
      </c>
      <c r="AK178" s="244"/>
      <c r="AL178" s="354">
        <f t="shared" si="20"/>
        <v>2148</v>
      </c>
      <c r="AM178" s="243">
        <f t="shared" si="21"/>
        <v>-27607</v>
      </c>
      <c r="AN178" s="243">
        <f t="shared" si="22"/>
        <v>-17254</v>
      </c>
      <c r="AO178" s="243">
        <f t="shared" si="23"/>
        <v>-16483</v>
      </c>
      <c r="AP178" s="243">
        <f t="shared" si="24"/>
        <v>-10241</v>
      </c>
      <c r="AQ178" s="243">
        <f t="shared" si="25"/>
        <v>-1490</v>
      </c>
    </row>
    <row r="179" spans="1:43">
      <c r="A179" s="59">
        <v>1418</v>
      </c>
      <c r="B179" s="63" t="s">
        <v>168</v>
      </c>
      <c r="C179" s="85">
        <f>_xlfn.XLOOKUP($A179,'Change in Proportion Calc'!$A$5:$A$311,'Change in Proportion Calc'!L$5:L$311,,0,)</f>
        <v>-6754</v>
      </c>
      <c r="D179" s="85">
        <f>_xlfn.XLOOKUP($A179,'Change in Proportion Calc'!$A$5:$A$311,'Change in Proportion Calc'!M$5:M$311,,0,)</f>
        <v>-6754</v>
      </c>
      <c r="E179" s="85">
        <f>_xlfn.XLOOKUP($A179,'Change in Proportion Calc'!$A$5:$A$311,'Change in Proportion Calc'!N$5:N$311,,0,)</f>
        <v>-6754</v>
      </c>
      <c r="F179" s="85">
        <f>_xlfn.XLOOKUP($A179,'Change in Proportion Calc'!$A$5:$A$311,'Change in Proportion Calc'!O$5:O$311,,0,)</f>
        <v>-6754</v>
      </c>
      <c r="G179" s="85">
        <f>_xlfn.XLOOKUP($A179,'Change in Proportion Calc'!$A$5:$A$311,'Change in Proportion Calc'!P$5:P$311,,0,)</f>
        <v>-6281</v>
      </c>
      <c r="H179" s="228"/>
      <c r="I179" s="85">
        <v>15100</v>
      </c>
      <c r="J179" s="85">
        <v>15100</v>
      </c>
      <c r="K179" s="85">
        <v>15100</v>
      </c>
      <c r="L179" s="85">
        <v>15100</v>
      </c>
      <c r="M179" s="85">
        <v>13135</v>
      </c>
      <c r="N179" s="85"/>
      <c r="O179" s="85">
        <v>34542</v>
      </c>
      <c r="P179" s="85">
        <v>34542</v>
      </c>
      <c r="Q179" s="85">
        <v>34542</v>
      </c>
      <c r="R179" s="85">
        <v>30742</v>
      </c>
      <c r="S179" s="228"/>
      <c r="T179" s="85">
        <v>210087</v>
      </c>
      <c r="U179" s="85">
        <v>210087</v>
      </c>
      <c r="V179" s="85">
        <v>205883</v>
      </c>
      <c r="W179" s="228"/>
      <c r="X179" s="243">
        <v>115666</v>
      </c>
      <c r="Y179" s="244">
        <v>113351</v>
      </c>
      <c r="Z179" s="62"/>
      <c r="AA179" s="141">
        <v>-137285</v>
      </c>
      <c r="AD179" s="244">
        <f>VLOOKUP(A179,'Change in Proportion Calc'!$A$5:$H$311,8,FALSE)+SUMIF($C$5:$AB$5,2025,C179:AB179)</f>
        <v>231356</v>
      </c>
      <c r="AF179" s="243">
        <f t="shared" si="18"/>
        <v>687582</v>
      </c>
      <c r="AG179" s="243">
        <f t="shared" si="19"/>
        <v>33297</v>
      </c>
      <c r="AI179" s="243">
        <f>VLOOKUP(A179,'OPEB Amounts_Report'!$A$10:$G$324,7,FALSE)</f>
        <v>687582</v>
      </c>
      <c r="AJ179" s="244">
        <f t="shared" si="26"/>
        <v>0</v>
      </c>
      <c r="AK179" s="244"/>
      <c r="AL179" s="354">
        <f t="shared" si="20"/>
        <v>1418</v>
      </c>
      <c r="AM179" s="243">
        <f t="shared" si="21"/>
        <v>366326</v>
      </c>
      <c r="AN179" s="243">
        <f t="shared" si="22"/>
        <v>248771</v>
      </c>
      <c r="AO179" s="243">
        <f t="shared" si="23"/>
        <v>39088</v>
      </c>
      <c r="AP179" s="243">
        <f t="shared" si="24"/>
        <v>6381</v>
      </c>
      <c r="AQ179" s="243">
        <f t="shared" si="25"/>
        <v>-6281</v>
      </c>
    </row>
    <row r="180" spans="1:43">
      <c r="A180" s="61">
        <v>12102</v>
      </c>
      <c r="B180" s="62" t="s">
        <v>169</v>
      </c>
      <c r="C180" s="85">
        <f>_xlfn.XLOOKUP($A180,'Change in Proportion Calc'!$A$5:$A$311,'Change in Proportion Calc'!L$5:L$311,,0,)</f>
        <v>-322211</v>
      </c>
      <c r="D180" s="85">
        <f>_xlfn.XLOOKUP($A180,'Change in Proportion Calc'!$A$5:$A$311,'Change in Proportion Calc'!M$5:M$311,,0,)</f>
        <v>-322211</v>
      </c>
      <c r="E180" s="85">
        <f>_xlfn.XLOOKUP($A180,'Change in Proportion Calc'!$A$5:$A$311,'Change in Proportion Calc'!N$5:N$311,,0,)</f>
        <v>-322211</v>
      </c>
      <c r="F180" s="85">
        <f>_xlfn.XLOOKUP($A180,'Change in Proportion Calc'!$A$5:$A$311,'Change in Proportion Calc'!O$5:O$311,,0,)</f>
        <v>-322211</v>
      </c>
      <c r="G180" s="85">
        <f>_xlfn.XLOOKUP($A180,'Change in Proportion Calc'!$A$5:$A$311,'Change in Proportion Calc'!P$5:P$311,,0,)</f>
        <v>-299656</v>
      </c>
      <c r="H180" s="228"/>
      <c r="I180" s="85">
        <v>29653</v>
      </c>
      <c r="J180" s="85">
        <v>29653</v>
      </c>
      <c r="K180" s="85">
        <v>29653</v>
      </c>
      <c r="L180" s="85">
        <v>29653</v>
      </c>
      <c r="M180" s="85">
        <v>25800</v>
      </c>
      <c r="N180" s="85"/>
      <c r="O180" s="85">
        <v>154658</v>
      </c>
      <c r="P180" s="85">
        <v>154658</v>
      </c>
      <c r="Q180" s="85">
        <v>154658</v>
      </c>
      <c r="R180" s="85">
        <v>137646</v>
      </c>
      <c r="S180" s="228"/>
      <c r="T180" s="85">
        <v>304763</v>
      </c>
      <c r="U180" s="85">
        <v>304763</v>
      </c>
      <c r="V180" s="85">
        <v>298670</v>
      </c>
      <c r="W180" s="228"/>
      <c r="X180" s="243">
        <v>-304921</v>
      </c>
      <c r="Y180" s="244">
        <v>-298823</v>
      </c>
      <c r="Z180" s="62"/>
      <c r="AA180" s="141">
        <v>-83452</v>
      </c>
      <c r="AD180" s="244">
        <f>VLOOKUP(A180,'Change in Proportion Calc'!$A$5:$H$311,8,FALSE)+SUMIF($C$5:$AB$5,2025,C180:AB180)</f>
        <v>-221510</v>
      </c>
      <c r="AF180" s="243">
        <f t="shared" si="18"/>
        <v>1165154</v>
      </c>
      <c r="AG180" s="243">
        <f t="shared" si="19"/>
        <v>1887323</v>
      </c>
      <c r="AI180" s="243">
        <f>VLOOKUP(A180,'OPEB Amounts_Report'!$A$10:$G$324,7,FALSE)</f>
        <v>1165154</v>
      </c>
      <c r="AJ180" s="244">
        <f t="shared" si="26"/>
        <v>0</v>
      </c>
      <c r="AK180" s="244"/>
      <c r="AL180" s="354">
        <f t="shared" si="20"/>
        <v>12102</v>
      </c>
      <c r="AM180" s="243">
        <f t="shared" si="21"/>
        <v>-131960</v>
      </c>
      <c r="AN180" s="243">
        <f t="shared" si="22"/>
        <v>160770</v>
      </c>
      <c r="AO180" s="243">
        <f t="shared" si="23"/>
        <v>-154912</v>
      </c>
      <c r="AP180" s="243">
        <f t="shared" si="24"/>
        <v>-296411</v>
      </c>
      <c r="AQ180" s="243">
        <f t="shared" si="25"/>
        <v>-299656</v>
      </c>
    </row>
    <row r="181" spans="1:43">
      <c r="A181" s="59">
        <v>2414</v>
      </c>
      <c r="B181" s="63" t="s">
        <v>170</v>
      </c>
      <c r="C181" s="85">
        <f>_xlfn.XLOOKUP($A181,'Change in Proportion Calc'!$A$5:$A$311,'Change in Proportion Calc'!L$5:L$311,,0,)</f>
        <v>-14058</v>
      </c>
      <c r="D181" s="85">
        <f>_xlfn.XLOOKUP($A181,'Change in Proportion Calc'!$A$5:$A$311,'Change in Proportion Calc'!M$5:M$311,,0,)</f>
        <v>-14058</v>
      </c>
      <c r="E181" s="85">
        <f>_xlfn.XLOOKUP($A181,'Change in Proportion Calc'!$A$5:$A$311,'Change in Proportion Calc'!N$5:N$311,,0,)</f>
        <v>-14058</v>
      </c>
      <c r="F181" s="85">
        <f>_xlfn.XLOOKUP($A181,'Change in Proportion Calc'!$A$5:$A$311,'Change in Proportion Calc'!O$5:O$311,,0,)</f>
        <v>-14058</v>
      </c>
      <c r="G181" s="85">
        <f>_xlfn.XLOOKUP($A181,'Change in Proportion Calc'!$A$5:$A$311,'Change in Proportion Calc'!P$5:P$311,,0,)</f>
        <v>-13072</v>
      </c>
      <c r="H181" s="228"/>
      <c r="I181" s="85">
        <v>39832</v>
      </c>
      <c r="J181" s="85">
        <v>39832</v>
      </c>
      <c r="K181" s="85">
        <v>39832</v>
      </c>
      <c r="L181" s="85">
        <v>39832</v>
      </c>
      <c r="M181" s="85">
        <v>34652</v>
      </c>
      <c r="N181" s="85"/>
      <c r="O181" s="85">
        <v>47436</v>
      </c>
      <c r="P181" s="85">
        <v>47436</v>
      </c>
      <c r="Q181" s="85">
        <v>47436</v>
      </c>
      <c r="R181" s="85">
        <v>42216</v>
      </c>
      <c r="S181" s="228"/>
      <c r="T181" s="85">
        <v>39685</v>
      </c>
      <c r="U181" s="85">
        <v>39685</v>
      </c>
      <c r="V181" s="85">
        <v>38890</v>
      </c>
      <c r="W181" s="228"/>
      <c r="X181" s="243">
        <v>102098</v>
      </c>
      <c r="Y181" s="244">
        <v>100058</v>
      </c>
      <c r="Z181" s="62"/>
      <c r="AA181" s="141">
        <v>34087</v>
      </c>
      <c r="AD181" s="244">
        <f>VLOOKUP(A181,'Change in Proportion Calc'!$A$5:$H$311,8,FALSE)+SUMIF($C$5:$AB$5,2025,C181:AB181)</f>
        <v>249080</v>
      </c>
      <c r="AF181" s="243">
        <f t="shared" si="18"/>
        <v>469869</v>
      </c>
      <c r="AG181" s="243">
        <f t="shared" si="19"/>
        <v>69304</v>
      </c>
      <c r="AI181" s="243">
        <f>VLOOKUP(A181,'OPEB Amounts_Report'!$A$10:$G$324,7,FALSE)</f>
        <v>469869</v>
      </c>
      <c r="AJ181" s="244">
        <f t="shared" si="26"/>
        <v>0</v>
      </c>
      <c r="AK181" s="244"/>
      <c r="AL181" s="354">
        <f t="shared" si="20"/>
        <v>2414</v>
      </c>
      <c r="AM181" s="243">
        <f t="shared" si="21"/>
        <v>212953</v>
      </c>
      <c r="AN181" s="243">
        <f t="shared" si="22"/>
        <v>112100</v>
      </c>
      <c r="AO181" s="243">
        <f t="shared" si="23"/>
        <v>67990</v>
      </c>
      <c r="AP181" s="243">
        <f t="shared" si="24"/>
        <v>20594</v>
      </c>
      <c r="AQ181" s="243">
        <f t="shared" si="25"/>
        <v>-13072</v>
      </c>
    </row>
    <row r="182" spans="1:43">
      <c r="A182" s="61">
        <v>6124</v>
      </c>
      <c r="B182" s="62" t="s">
        <v>171</v>
      </c>
      <c r="C182" s="85">
        <f>_xlfn.XLOOKUP($A182,'Change in Proportion Calc'!$A$5:$A$311,'Change in Proportion Calc'!L$5:L$311,,0,)</f>
        <v>203534</v>
      </c>
      <c r="D182" s="85">
        <f>_xlfn.XLOOKUP($A182,'Change in Proportion Calc'!$A$5:$A$311,'Change in Proportion Calc'!M$5:M$311,,0,)</f>
        <v>203534</v>
      </c>
      <c r="E182" s="85">
        <f>_xlfn.XLOOKUP($A182,'Change in Proportion Calc'!$A$5:$A$311,'Change in Proportion Calc'!N$5:N$311,,0,)</f>
        <v>203534</v>
      </c>
      <c r="F182" s="85">
        <f>_xlfn.XLOOKUP($A182,'Change in Proportion Calc'!$A$5:$A$311,'Change in Proportion Calc'!O$5:O$311,,0,)</f>
        <v>203534</v>
      </c>
      <c r="G182" s="85">
        <f>_xlfn.XLOOKUP($A182,'Change in Proportion Calc'!$A$5:$A$311,'Change in Proportion Calc'!P$5:P$311,,0,)</f>
        <v>189288</v>
      </c>
      <c r="H182" s="228"/>
      <c r="I182" s="85">
        <v>100427</v>
      </c>
      <c r="J182" s="85">
        <v>100427</v>
      </c>
      <c r="K182" s="85">
        <v>100427</v>
      </c>
      <c r="L182" s="85">
        <v>100427</v>
      </c>
      <c r="M182" s="85">
        <v>87370</v>
      </c>
      <c r="N182" s="85"/>
      <c r="O182" s="85">
        <v>-41687</v>
      </c>
      <c r="P182" s="85">
        <v>-41687</v>
      </c>
      <c r="Q182" s="85">
        <v>-41687</v>
      </c>
      <c r="R182" s="85">
        <v>-37099</v>
      </c>
      <c r="S182" s="228"/>
      <c r="T182" s="85">
        <v>-134604</v>
      </c>
      <c r="U182" s="85">
        <v>-134604</v>
      </c>
      <c r="V182" s="85">
        <v>-131914</v>
      </c>
      <c r="W182" s="228"/>
      <c r="X182" s="243">
        <v>-150443</v>
      </c>
      <c r="Y182" s="244">
        <v>-147432</v>
      </c>
      <c r="Z182" s="62"/>
      <c r="AA182" s="141">
        <v>-122384</v>
      </c>
      <c r="AD182" s="244">
        <f>VLOOKUP(A182,'Change in Proportion Calc'!$A$5:$H$311,8,FALSE)+SUMIF($C$5:$AB$5,2025,C182:AB182)</f>
        <v>-145157</v>
      </c>
      <c r="AF182" s="243">
        <f t="shared" si="18"/>
        <v>1392075</v>
      </c>
      <c r="AG182" s="243">
        <f t="shared" si="19"/>
        <v>534423</v>
      </c>
      <c r="AI182" s="243">
        <f>VLOOKUP(A182,'OPEB Amounts_Report'!$A$10:$G$324,7,FALSE)</f>
        <v>1392075</v>
      </c>
      <c r="AJ182" s="244">
        <f t="shared" si="26"/>
        <v>0</v>
      </c>
      <c r="AK182" s="244"/>
      <c r="AL182" s="354">
        <f t="shared" si="20"/>
        <v>6124</v>
      </c>
      <c r="AM182" s="243">
        <f t="shared" si="21"/>
        <v>-19762</v>
      </c>
      <c r="AN182" s="243">
        <f t="shared" si="22"/>
        <v>130360</v>
      </c>
      <c r="AO182" s="243">
        <f t="shared" si="23"/>
        <v>266862</v>
      </c>
      <c r="AP182" s="243">
        <f t="shared" si="24"/>
        <v>290904</v>
      </c>
      <c r="AQ182" s="243">
        <f t="shared" si="25"/>
        <v>189288</v>
      </c>
    </row>
    <row r="183" spans="1:43">
      <c r="A183" s="59">
        <v>4097</v>
      </c>
      <c r="B183" s="63" t="s">
        <v>172</v>
      </c>
      <c r="C183" s="85">
        <f>_xlfn.XLOOKUP($A183,'Change in Proportion Calc'!$A$5:$A$311,'Change in Proportion Calc'!L$5:L$311,,0,)</f>
        <v>-54535</v>
      </c>
      <c r="D183" s="85">
        <f>_xlfn.XLOOKUP($A183,'Change in Proportion Calc'!$A$5:$A$311,'Change in Proportion Calc'!M$5:M$311,,0,)</f>
        <v>-54535</v>
      </c>
      <c r="E183" s="85">
        <f>_xlfn.XLOOKUP($A183,'Change in Proportion Calc'!$A$5:$A$311,'Change in Proportion Calc'!N$5:N$311,,0,)</f>
        <v>-54535</v>
      </c>
      <c r="F183" s="85">
        <f>_xlfn.XLOOKUP($A183,'Change in Proportion Calc'!$A$5:$A$311,'Change in Proportion Calc'!O$5:O$311,,0,)</f>
        <v>-54535</v>
      </c>
      <c r="G183" s="85">
        <f>_xlfn.XLOOKUP($A183,'Change in Proportion Calc'!$A$5:$A$311,'Change in Proportion Calc'!P$5:P$311,,0,)</f>
        <v>-50717</v>
      </c>
      <c r="H183" s="228"/>
      <c r="I183" s="85">
        <v>16476</v>
      </c>
      <c r="J183" s="85">
        <v>16476</v>
      </c>
      <c r="K183" s="85">
        <v>16476</v>
      </c>
      <c r="L183" s="85">
        <v>16476</v>
      </c>
      <c r="M183" s="85">
        <v>14333</v>
      </c>
      <c r="N183" s="85"/>
      <c r="O183" s="85">
        <v>-13500</v>
      </c>
      <c r="P183" s="85">
        <v>-13500</v>
      </c>
      <c r="Q183" s="85">
        <v>-13500</v>
      </c>
      <c r="R183" s="85">
        <v>-12017</v>
      </c>
      <c r="S183" s="228"/>
      <c r="T183" s="85">
        <v>-22758</v>
      </c>
      <c r="U183" s="85">
        <v>-22758</v>
      </c>
      <c r="V183" s="85">
        <v>-22303</v>
      </c>
      <c r="W183" s="228"/>
      <c r="X183" s="243">
        <v>-164353</v>
      </c>
      <c r="Y183" s="244">
        <v>-161068</v>
      </c>
      <c r="Z183" s="62"/>
      <c r="AA183" s="141">
        <v>-1368</v>
      </c>
      <c r="AD183" s="244">
        <f>VLOOKUP(A183,'Change in Proportion Calc'!$A$5:$H$311,8,FALSE)+SUMIF($C$5:$AB$5,2025,C183:AB183)</f>
        <v>-240038</v>
      </c>
      <c r="AF183" s="243">
        <f t="shared" si="18"/>
        <v>63761</v>
      </c>
      <c r="AG183" s="243">
        <f t="shared" si="19"/>
        <v>514003</v>
      </c>
      <c r="AI183" s="243">
        <f>VLOOKUP(A183,'OPEB Amounts_Report'!$A$10:$G$324,7,FALSE)</f>
        <v>63761</v>
      </c>
      <c r="AJ183" s="244">
        <f t="shared" si="26"/>
        <v>0</v>
      </c>
      <c r="AK183" s="244"/>
      <c r="AL183" s="354">
        <f t="shared" si="20"/>
        <v>4097</v>
      </c>
      <c r="AM183" s="243">
        <f t="shared" si="21"/>
        <v>-235385</v>
      </c>
      <c r="AN183" s="243">
        <f t="shared" si="22"/>
        <v>-73862</v>
      </c>
      <c r="AO183" s="243">
        <f t="shared" si="23"/>
        <v>-50076</v>
      </c>
      <c r="AP183" s="243">
        <f t="shared" si="24"/>
        <v>-40202</v>
      </c>
      <c r="AQ183" s="243">
        <f t="shared" si="25"/>
        <v>-50717</v>
      </c>
    </row>
    <row r="184" spans="1:43">
      <c r="A184" s="61">
        <v>1416</v>
      </c>
      <c r="B184" s="62" t="s">
        <v>173</v>
      </c>
      <c r="C184" s="85">
        <f>_xlfn.XLOOKUP($A184,'Change in Proportion Calc'!$A$5:$A$311,'Change in Proportion Calc'!L$5:L$311,,0,)</f>
        <v>9715</v>
      </c>
      <c r="D184" s="85">
        <f>_xlfn.XLOOKUP($A184,'Change in Proportion Calc'!$A$5:$A$311,'Change in Proportion Calc'!M$5:M$311,,0,)</f>
        <v>9715</v>
      </c>
      <c r="E184" s="85">
        <f>_xlfn.XLOOKUP($A184,'Change in Proportion Calc'!$A$5:$A$311,'Change in Proportion Calc'!N$5:N$311,,0,)</f>
        <v>9715</v>
      </c>
      <c r="F184" s="85">
        <f>_xlfn.XLOOKUP($A184,'Change in Proportion Calc'!$A$5:$A$311,'Change in Proportion Calc'!O$5:O$311,,0,)</f>
        <v>9715</v>
      </c>
      <c r="G184" s="85">
        <f>_xlfn.XLOOKUP($A184,'Change in Proportion Calc'!$A$5:$A$311,'Change in Proportion Calc'!P$5:P$311,,0,)</f>
        <v>9033</v>
      </c>
      <c r="H184" s="228"/>
      <c r="I184" s="85">
        <v>20733</v>
      </c>
      <c r="J184" s="85">
        <v>20733</v>
      </c>
      <c r="K184" s="85">
        <v>20733</v>
      </c>
      <c r="L184" s="85">
        <v>20733</v>
      </c>
      <c r="M184" s="85">
        <v>18040</v>
      </c>
      <c r="N184" s="85"/>
      <c r="O184" s="85">
        <v>12905</v>
      </c>
      <c r="P184" s="85">
        <v>12905</v>
      </c>
      <c r="Q184" s="85">
        <v>12905</v>
      </c>
      <c r="R184" s="85">
        <v>11485</v>
      </c>
      <c r="S184" s="228"/>
      <c r="T184" s="85">
        <v>26646</v>
      </c>
      <c r="U184" s="85">
        <v>26646</v>
      </c>
      <c r="V184" s="85">
        <v>26111</v>
      </c>
      <c r="W184" s="228"/>
      <c r="X184" s="243">
        <v>3950</v>
      </c>
      <c r="Y184" s="244">
        <v>3871</v>
      </c>
      <c r="Z184" s="62"/>
      <c r="AA184" s="141">
        <v>17260</v>
      </c>
      <c r="AD184" s="244">
        <f>VLOOKUP(A184,'Change in Proportion Calc'!$A$5:$H$311,8,FALSE)+SUMIF($C$5:$AB$5,2025,C184:AB184)</f>
        <v>91209</v>
      </c>
      <c r="AF184" s="243">
        <f t="shared" si="18"/>
        <v>222055</v>
      </c>
      <c r="AG184" s="243">
        <f t="shared" si="19"/>
        <v>0</v>
      </c>
      <c r="AI184" s="243">
        <f>VLOOKUP(A184,'OPEB Amounts_Report'!$A$10:$G$324,7,FALSE)</f>
        <v>222055</v>
      </c>
      <c r="AJ184" s="244">
        <f t="shared" si="26"/>
        <v>0</v>
      </c>
      <c r="AK184" s="244"/>
      <c r="AL184" s="354">
        <f t="shared" si="20"/>
        <v>1416</v>
      </c>
      <c r="AM184" s="243">
        <f t="shared" si="21"/>
        <v>73870</v>
      </c>
      <c r="AN184" s="243">
        <f t="shared" si="22"/>
        <v>69464</v>
      </c>
      <c r="AO184" s="243">
        <f t="shared" si="23"/>
        <v>41933</v>
      </c>
      <c r="AP184" s="243">
        <f t="shared" si="24"/>
        <v>27755</v>
      </c>
      <c r="AQ184" s="243">
        <f t="shared" si="25"/>
        <v>9033</v>
      </c>
    </row>
    <row r="185" spans="1:43">
      <c r="A185" s="59">
        <v>1094</v>
      </c>
      <c r="B185" s="63" t="s">
        <v>174</v>
      </c>
      <c r="C185" s="85">
        <f>_xlfn.XLOOKUP($A185,'Change in Proportion Calc'!$A$5:$A$311,'Change in Proportion Calc'!L$5:L$311,,0,)</f>
        <v>-12428</v>
      </c>
      <c r="D185" s="85">
        <f>_xlfn.XLOOKUP($A185,'Change in Proportion Calc'!$A$5:$A$311,'Change in Proportion Calc'!M$5:M$311,,0,)</f>
        <v>-12428</v>
      </c>
      <c r="E185" s="85">
        <f>_xlfn.XLOOKUP($A185,'Change in Proportion Calc'!$A$5:$A$311,'Change in Proportion Calc'!N$5:N$311,,0,)</f>
        <v>-12428</v>
      </c>
      <c r="F185" s="85">
        <f>_xlfn.XLOOKUP($A185,'Change in Proportion Calc'!$A$5:$A$311,'Change in Proportion Calc'!O$5:O$311,,0,)</f>
        <v>-12428</v>
      </c>
      <c r="G185" s="85">
        <f>_xlfn.XLOOKUP($A185,'Change in Proportion Calc'!$A$5:$A$311,'Change in Proportion Calc'!P$5:P$311,,0,)</f>
        <v>-11558</v>
      </c>
      <c r="H185" s="228"/>
      <c r="I185" s="85">
        <v>-86094</v>
      </c>
      <c r="J185" s="85">
        <v>-86094</v>
      </c>
      <c r="K185" s="85">
        <v>-86094</v>
      </c>
      <c r="L185" s="85">
        <v>-86094</v>
      </c>
      <c r="M185" s="85">
        <v>-74904</v>
      </c>
      <c r="N185" s="85"/>
      <c r="O185" s="85">
        <v>-105698</v>
      </c>
      <c r="P185" s="85">
        <v>-105698</v>
      </c>
      <c r="Q185" s="85">
        <v>-105698</v>
      </c>
      <c r="R185" s="85">
        <v>-94069</v>
      </c>
      <c r="S185" s="228"/>
      <c r="T185" s="85">
        <v>-107473</v>
      </c>
      <c r="U185" s="85">
        <v>-107473</v>
      </c>
      <c r="V185" s="85">
        <v>-105324</v>
      </c>
      <c r="W185" s="228"/>
      <c r="X185" s="243">
        <v>27993</v>
      </c>
      <c r="Y185" s="244">
        <v>27435</v>
      </c>
      <c r="Z185" s="62"/>
      <c r="AA185" s="141">
        <v>12915</v>
      </c>
      <c r="AD185" s="244">
        <f>VLOOKUP(A185,'Change in Proportion Calc'!$A$5:$H$311,8,FALSE)+SUMIF($C$5:$AB$5,2025,C185:AB185)</f>
        <v>-270785</v>
      </c>
      <c r="AF185" s="243">
        <f t="shared" si="18"/>
        <v>27435</v>
      </c>
      <c r="AG185" s="243">
        <f t="shared" si="19"/>
        <v>912718</v>
      </c>
      <c r="AI185" s="243">
        <f>VLOOKUP(A185,'OPEB Amounts_Report'!$A$10:$G$324,7,FALSE)</f>
        <v>27435</v>
      </c>
      <c r="AJ185" s="244">
        <f t="shared" si="26"/>
        <v>0</v>
      </c>
      <c r="AK185" s="244"/>
      <c r="AL185" s="354">
        <f t="shared" si="20"/>
        <v>1094</v>
      </c>
      <c r="AM185" s="243">
        <f t="shared" si="21"/>
        <v>-284258</v>
      </c>
      <c r="AN185" s="243">
        <f t="shared" si="22"/>
        <v>-309544</v>
      </c>
      <c r="AO185" s="243">
        <f t="shared" si="23"/>
        <v>-192591</v>
      </c>
      <c r="AP185" s="243">
        <f t="shared" si="24"/>
        <v>-87332</v>
      </c>
      <c r="AQ185" s="243">
        <f t="shared" si="25"/>
        <v>-11558</v>
      </c>
    </row>
    <row r="186" spans="1:43">
      <c r="A186" s="59">
        <v>32111</v>
      </c>
      <c r="B186" s="63" t="s">
        <v>175</v>
      </c>
      <c r="C186" s="85">
        <f>_xlfn.XLOOKUP($A186,'Change in Proportion Calc'!$A$5:$A$311,'Change in Proportion Calc'!L$5:L$311,,0,)</f>
        <v>-38882</v>
      </c>
      <c r="D186" s="85">
        <f>_xlfn.XLOOKUP($A186,'Change in Proportion Calc'!$A$5:$A$311,'Change in Proportion Calc'!M$5:M$311,,0,)</f>
        <v>-38882</v>
      </c>
      <c r="E186" s="85">
        <f>_xlfn.XLOOKUP($A186,'Change in Proportion Calc'!$A$5:$A$311,'Change in Proportion Calc'!N$5:N$311,,0,)</f>
        <v>-38882</v>
      </c>
      <c r="F186" s="85">
        <f>_xlfn.XLOOKUP($A186,'Change in Proportion Calc'!$A$5:$A$311,'Change in Proportion Calc'!O$5:O$311,,0,)</f>
        <v>-38882</v>
      </c>
      <c r="G186" s="85">
        <f>_xlfn.XLOOKUP($A186,'Change in Proportion Calc'!$A$5:$A$311,'Change in Proportion Calc'!P$5:P$311,,0,)</f>
        <v>-36160</v>
      </c>
      <c r="H186" s="228"/>
      <c r="I186" s="85">
        <v>-8608</v>
      </c>
      <c r="J186" s="85">
        <v>-8608</v>
      </c>
      <c r="K186" s="85">
        <v>-8608</v>
      </c>
      <c r="L186" s="85">
        <v>-8608</v>
      </c>
      <c r="M186" s="85">
        <v>-7487</v>
      </c>
      <c r="N186" s="85"/>
      <c r="O186" s="85">
        <v>34283</v>
      </c>
      <c r="P186" s="85">
        <v>34283</v>
      </c>
      <c r="Q186" s="85">
        <v>34283</v>
      </c>
      <c r="R186" s="85">
        <v>30514</v>
      </c>
      <c r="S186" s="228"/>
      <c r="T186" s="85">
        <v>-64224</v>
      </c>
      <c r="U186" s="85">
        <v>-64224</v>
      </c>
      <c r="V186" s="85">
        <v>-62942</v>
      </c>
      <c r="W186" s="228"/>
      <c r="X186" s="243">
        <v>-22841</v>
      </c>
      <c r="Y186" s="244">
        <v>-22385</v>
      </c>
      <c r="Z186" s="62"/>
      <c r="AA186" s="141">
        <v>1616</v>
      </c>
      <c r="AD186" s="244">
        <f>VLOOKUP(A186,'Change in Proportion Calc'!$A$5:$H$311,8,FALSE)+SUMIF($C$5:$AB$5,2025,C186:AB186)</f>
        <v>-98656</v>
      </c>
      <c r="AF186" s="243">
        <f t="shared" si="18"/>
        <v>99080</v>
      </c>
      <c r="AG186" s="243">
        <f t="shared" si="19"/>
        <v>374550</v>
      </c>
      <c r="AI186" s="243">
        <f>VLOOKUP(A186,'OPEB Amounts_Report'!$A$10:$G$324,7,FALSE)</f>
        <v>99080</v>
      </c>
      <c r="AJ186" s="244">
        <f t="shared" si="26"/>
        <v>0</v>
      </c>
      <c r="AK186" s="244"/>
      <c r="AL186" s="354">
        <f t="shared" si="20"/>
        <v>32111</v>
      </c>
      <c r="AM186" s="243">
        <f t="shared" si="21"/>
        <v>-99816</v>
      </c>
      <c r="AN186" s="243">
        <f t="shared" si="22"/>
        <v>-76149</v>
      </c>
      <c r="AO186" s="243">
        <f t="shared" si="23"/>
        <v>-16976</v>
      </c>
      <c r="AP186" s="243">
        <f t="shared" si="24"/>
        <v>-46369</v>
      </c>
      <c r="AQ186" s="243">
        <f t="shared" si="25"/>
        <v>-36160</v>
      </c>
    </row>
    <row r="187" spans="1:43">
      <c r="A187" s="61">
        <v>2520</v>
      </c>
      <c r="B187" s="62" t="s">
        <v>176</v>
      </c>
      <c r="C187" s="85">
        <f>_xlfn.XLOOKUP($A187,'Change in Proportion Calc'!$A$5:$A$311,'Change in Proportion Calc'!L$5:L$311,,0,)</f>
        <v>24104</v>
      </c>
      <c r="D187" s="85">
        <f>_xlfn.XLOOKUP($A187,'Change in Proportion Calc'!$A$5:$A$311,'Change in Proportion Calc'!M$5:M$311,,0,)</f>
        <v>24104</v>
      </c>
      <c r="E187" s="85">
        <f>_xlfn.XLOOKUP($A187,'Change in Proportion Calc'!$A$5:$A$311,'Change in Proportion Calc'!N$5:N$311,,0,)</f>
        <v>24104</v>
      </c>
      <c r="F187" s="85">
        <f>_xlfn.XLOOKUP($A187,'Change in Proportion Calc'!$A$5:$A$311,'Change in Proportion Calc'!O$5:O$311,,0,)</f>
        <v>24104</v>
      </c>
      <c r="G187" s="85">
        <f>_xlfn.XLOOKUP($A187,'Change in Proportion Calc'!$A$5:$A$311,'Change in Proportion Calc'!P$5:P$311,,0,)</f>
        <v>22418</v>
      </c>
      <c r="H187" s="228"/>
      <c r="I187" s="85">
        <v>-1802</v>
      </c>
      <c r="J187" s="85">
        <v>-1802</v>
      </c>
      <c r="K187" s="85">
        <v>-1802</v>
      </c>
      <c r="L187" s="85">
        <v>-1802</v>
      </c>
      <c r="M187" s="85">
        <v>-1570</v>
      </c>
      <c r="N187" s="85"/>
      <c r="O187" s="85">
        <v>23690</v>
      </c>
      <c r="P187" s="85">
        <v>23690</v>
      </c>
      <c r="Q187" s="85">
        <v>23690</v>
      </c>
      <c r="R187" s="85">
        <v>21082</v>
      </c>
      <c r="S187" s="228"/>
      <c r="T187" s="85">
        <v>29804</v>
      </c>
      <c r="U187" s="85">
        <v>29804</v>
      </c>
      <c r="V187" s="85">
        <v>29209</v>
      </c>
      <c r="W187" s="228"/>
      <c r="X187" s="243">
        <v>-16487</v>
      </c>
      <c r="Y187" s="244">
        <v>-16156</v>
      </c>
      <c r="Z187" s="62"/>
      <c r="AA187" s="141">
        <v>-47562</v>
      </c>
      <c r="AD187" s="244">
        <f>VLOOKUP(A187,'Change in Proportion Calc'!$A$5:$H$311,8,FALSE)+SUMIF($C$5:$AB$5,2025,C187:AB187)</f>
        <v>11747</v>
      </c>
      <c r="AF187" s="243">
        <f t="shared" si="18"/>
        <v>246309</v>
      </c>
      <c r="AG187" s="243">
        <f t="shared" si="19"/>
        <v>23132</v>
      </c>
      <c r="AI187" s="243">
        <f>VLOOKUP(A187,'OPEB Amounts_Report'!$A$10:$G$324,7,FALSE)</f>
        <v>246309</v>
      </c>
      <c r="AJ187" s="244">
        <f t="shared" si="26"/>
        <v>0</v>
      </c>
      <c r="AK187" s="244"/>
      <c r="AL187" s="354">
        <f t="shared" si="20"/>
        <v>2520</v>
      </c>
      <c r="AM187" s="243">
        <f t="shared" si="21"/>
        <v>59640</v>
      </c>
      <c r="AN187" s="243">
        <f t="shared" si="22"/>
        <v>75201</v>
      </c>
      <c r="AO187" s="243">
        <f t="shared" si="23"/>
        <v>43384</v>
      </c>
      <c r="AP187" s="243">
        <f t="shared" si="24"/>
        <v>22534</v>
      </c>
      <c r="AQ187" s="243">
        <f t="shared" si="25"/>
        <v>22418</v>
      </c>
    </row>
    <row r="188" spans="1:43">
      <c r="A188" s="59">
        <v>3450</v>
      </c>
      <c r="B188" s="63" t="s">
        <v>177</v>
      </c>
      <c r="C188" s="85">
        <f>_xlfn.XLOOKUP($A188,'Change in Proportion Calc'!$A$5:$A$311,'Change in Proportion Calc'!L$5:L$311,,0,)</f>
        <v>33048</v>
      </c>
      <c r="D188" s="85">
        <f>_xlfn.XLOOKUP($A188,'Change in Proportion Calc'!$A$5:$A$311,'Change in Proportion Calc'!M$5:M$311,,0,)</f>
        <v>33048</v>
      </c>
      <c r="E188" s="85">
        <f>_xlfn.XLOOKUP($A188,'Change in Proportion Calc'!$A$5:$A$311,'Change in Proportion Calc'!N$5:N$311,,0,)</f>
        <v>33048</v>
      </c>
      <c r="F188" s="85">
        <f>_xlfn.XLOOKUP($A188,'Change in Proportion Calc'!$A$5:$A$311,'Change in Proportion Calc'!O$5:O$311,,0,)</f>
        <v>33048</v>
      </c>
      <c r="G188" s="85">
        <f>_xlfn.XLOOKUP($A188,'Change in Proportion Calc'!$A$5:$A$311,'Change in Proportion Calc'!P$5:P$311,,0,)</f>
        <v>30736</v>
      </c>
      <c r="H188" s="228"/>
      <c r="I188" s="85">
        <v>-231</v>
      </c>
      <c r="J188" s="85">
        <v>-231</v>
      </c>
      <c r="K188" s="85">
        <v>-231</v>
      </c>
      <c r="L188" s="85">
        <v>-231</v>
      </c>
      <c r="M188" s="85">
        <v>-203</v>
      </c>
      <c r="N188" s="85"/>
      <c r="O188" s="85">
        <v>-9580</v>
      </c>
      <c r="P188" s="85">
        <v>-9580</v>
      </c>
      <c r="Q188" s="85">
        <v>-9580</v>
      </c>
      <c r="R188" s="85">
        <v>-8524</v>
      </c>
      <c r="S188" s="228"/>
      <c r="T188" s="85">
        <v>2672</v>
      </c>
      <c r="U188" s="85">
        <v>2672</v>
      </c>
      <c r="V188" s="85">
        <v>2621</v>
      </c>
      <c r="W188" s="228"/>
      <c r="X188" s="243">
        <v>-12279</v>
      </c>
      <c r="Y188" s="244">
        <v>-12035</v>
      </c>
      <c r="Z188" s="62"/>
      <c r="AA188" s="141">
        <v>-2794</v>
      </c>
      <c r="AD188" s="244">
        <f>VLOOKUP(A188,'Change in Proportion Calc'!$A$5:$H$311,8,FALSE)+SUMIF($C$5:$AB$5,2025,C188:AB188)</f>
        <v>10836</v>
      </c>
      <c r="AF188" s="243">
        <f t="shared" si="18"/>
        <v>168221</v>
      </c>
      <c r="AG188" s="243">
        <f t="shared" si="19"/>
        <v>40615</v>
      </c>
      <c r="AI188" s="243">
        <f>VLOOKUP(A188,'OPEB Amounts_Report'!$A$10:$G$324,7,FALSE)</f>
        <v>168221</v>
      </c>
      <c r="AJ188" s="244">
        <f t="shared" si="26"/>
        <v>0</v>
      </c>
      <c r="AK188" s="244"/>
      <c r="AL188" s="354">
        <f t="shared" si="20"/>
        <v>3450</v>
      </c>
      <c r="AM188" s="243">
        <f t="shared" si="21"/>
        <v>13874</v>
      </c>
      <c r="AN188" s="243">
        <f t="shared" si="22"/>
        <v>25858</v>
      </c>
      <c r="AO188" s="243">
        <f t="shared" si="23"/>
        <v>24293</v>
      </c>
      <c r="AP188" s="243">
        <f t="shared" si="24"/>
        <v>32845</v>
      </c>
      <c r="AQ188" s="243">
        <f t="shared" si="25"/>
        <v>30736</v>
      </c>
    </row>
    <row r="189" spans="1:43">
      <c r="A189" s="61">
        <v>4310</v>
      </c>
      <c r="B189" s="62" t="s">
        <v>178</v>
      </c>
      <c r="C189" s="85">
        <f>_xlfn.XLOOKUP($A189,'Change in Proportion Calc'!$A$5:$A$311,'Change in Proportion Calc'!L$5:L$311,,0,)</f>
        <v>24964</v>
      </c>
      <c r="D189" s="85">
        <f>_xlfn.XLOOKUP($A189,'Change in Proportion Calc'!$A$5:$A$311,'Change in Proportion Calc'!M$5:M$311,,0,)</f>
        <v>24964</v>
      </c>
      <c r="E189" s="85">
        <f>_xlfn.XLOOKUP($A189,'Change in Proportion Calc'!$A$5:$A$311,'Change in Proportion Calc'!N$5:N$311,,0,)</f>
        <v>24964</v>
      </c>
      <c r="F189" s="85">
        <f>_xlfn.XLOOKUP($A189,'Change in Proportion Calc'!$A$5:$A$311,'Change in Proportion Calc'!O$5:O$311,,0,)</f>
        <v>24964</v>
      </c>
      <c r="G189" s="85">
        <f>_xlfn.XLOOKUP($A189,'Change in Proportion Calc'!$A$5:$A$311,'Change in Proportion Calc'!P$5:P$311,,0,)</f>
        <v>23217</v>
      </c>
      <c r="H189" s="228"/>
      <c r="I189" s="85">
        <v>-29071</v>
      </c>
      <c r="J189" s="85">
        <v>-29071</v>
      </c>
      <c r="K189" s="85">
        <v>-29071</v>
      </c>
      <c r="L189" s="85">
        <v>-29071</v>
      </c>
      <c r="M189" s="85">
        <v>-25293</v>
      </c>
      <c r="N189" s="85"/>
      <c r="O189" s="85">
        <v>-23892</v>
      </c>
      <c r="P189" s="85">
        <v>-23892</v>
      </c>
      <c r="Q189" s="85">
        <v>-23892</v>
      </c>
      <c r="R189" s="85">
        <v>-21266</v>
      </c>
      <c r="S189" s="228"/>
      <c r="T189" s="85">
        <v>-18628</v>
      </c>
      <c r="U189" s="85">
        <v>-18628</v>
      </c>
      <c r="V189" s="85">
        <v>-18253</v>
      </c>
      <c r="W189" s="228"/>
      <c r="X189" s="243">
        <v>515</v>
      </c>
      <c r="Y189" s="244">
        <v>506</v>
      </c>
      <c r="Z189" s="62"/>
      <c r="AA189" s="141">
        <v>17446</v>
      </c>
      <c r="AD189" s="244">
        <f>VLOOKUP(A189,'Change in Proportion Calc'!$A$5:$H$311,8,FALSE)+SUMIF($C$5:$AB$5,2025,C189:AB189)</f>
        <v>-28666</v>
      </c>
      <c r="AF189" s="243">
        <f t="shared" si="18"/>
        <v>123579</v>
      </c>
      <c r="AG189" s="243">
        <f t="shared" si="19"/>
        <v>218437</v>
      </c>
      <c r="AI189" s="243">
        <f>VLOOKUP(A189,'OPEB Amounts_Report'!$A$10:$G$324,7,FALSE)</f>
        <v>123579</v>
      </c>
      <c r="AJ189" s="244">
        <f t="shared" si="26"/>
        <v>0</v>
      </c>
      <c r="AK189" s="244"/>
      <c r="AL189" s="354">
        <f t="shared" si="20"/>
        <v>4310</v>
      </c>
      <c r="AM189" s="243">
        <f t="shared" si="21"/>
        <v>-46121</v>
      </c>
      <c r="AN189" s="243">
        <f t="shared" si="22"/>
        <v>-46252</v>
      </c>
      <c r="AO189" s="243">
        <f t="shared" si="23"/>
        <v>-25373</v>
      </c>
      <c r="AP189" s="243">
        <f t="shared" si="24"/>
        <v>-329</v>
      </c>
      <c r="AQ189" s="243">
        <f t="shared" si="25"/>
        <v>23217</v>
      </c>
    </row>
    <row r="190" spans="1:43">
      <c r="A190" s="59">
        <v>2328</v>
      </c>
      <c r="B190" s="63" t="s">
        <v>179</v>
      </c>
      <c r="C190" s="85">
        <f>_xlfn.XLOOKUP($A190,'Change in Proportion Calc'!$A$5:$A$311,'Change in Proportion Calc'!L$5:L$311,,0,)</f>
        <v>-55286</v>
      </c>
      <c r="D190" s="85">
        <f>_xlfn.XLOOKUP($A190,'Change in Proportion Calc'!$A$5:$A$311,'Change in Proportion Calc'!M$5:M$311,,0,)</f>
        <v>-55286</v>
      </c>
      <c r="E190" s="85">
        <f>_xlfn.XLOOKUP($A190,'Change in Proportion Calc'!$A$5:$A$311,'Change in Proportion Calc'!N$5:N$311,,0,)</f>
        <v>-55286</v>
      </c>
      <c r="F190" s="85">
        <f>_xlfn.XLOOKUP($A190,'Change in Proportion Calc'!$A$5:$A$311,'Change in Proportion Calc'!O$5:O$311,,0,)</f>
        <v>-55286</v>
      </c>
      <c r="G190" s="85">
        <f>_xlfn.XLOOKUP($A190,'Change in Proportion Calc'!$A$5:$A$311,'Change in Proportion Calc'!P$5:P$311,,0,)</f>
        <v>-51417</v>
      </c>
      <c r="H190" s="228"/>
      <c r="I190" s="85">
        <v>-11580</v>
      </c>
      <c r="J190" s="85">
        <v>-11580</v>
      </c>
      <c r="K190" s="85">
        <v>-11580</v>
      </c>
      <c r="L190" s="85">
        <v>-11580</v>
      </c>
      <c r="M190" s="85">
        <v>-10077</v>
      </c>
      <c r="N190" s="85"/>
      <c r="O190" s="85">
        <v>15912</v>
      </c>
      <c r="P190" s="85">
        <v>15912</v>
      </c>
      <c r="Q190" s="85">
        <v>15912</v>
      </c>
      <c r="R190" s="85">
        <v>14164</v>
      </c>
      <c r="S190" s="228"/>
      <c r="T190" s="85">
        <v>21948</v>
      </c>
      <c r="U190" s="85">
        <v>21948</v>
      </c>
      <c r="V190" s="85">
        <v>21510</v>
      </c>
      <c r="W190" s="228"/>
      <c r="X190" s="243">
        <v>-3950</v>
      </c>
      <c r="Y190" s="244">
        <v>-3871</v>
      </c>
      <c r="Z190" s="62"/>
      <c r="AA190" s="141">
        <v>41291</v>
      </c>
      <c r="AD190" s="244">
        <f>VLOOKUP(A190,'Change in Proportion Calc'!$A$5:$H$311,8,FALSE)+SUMIF($C$5:$AB$5,2025,C190:AB190)</f>
        <v>8335</v>
      </c>
      <c r="AF190" s="243">
        <f t="shared" si="18"/>
        <v>89446</v>
      </c>
      <c r="AG190" s="243">
        <f t="shared" si="19"/>
        <v>321249</v>
      </c>
      <c r="AI190" s="243">
        <f>VLOOKUP(A190,'OPEB Amounts_Report'!$A$10:$G$324,7,FALSE)</f>
        <v>89446</v>
      </c>
      <c r="AJ190" s="244">
        <f t="shared" si="26"/>
        <v>0</v>
      </c>
      <c r="AK190" s="244"/>
      <c r="AL190" s="354">
        <f t="shared" si="20"/>
        <v>2328</v>
      </c>
      <c r="AM190" s="243">
        <f t="shared" si="21"/>
        <v>-32877</v>
      </c>
      <c r="AN190" s="243">
        <f t="shared" si="22"/>
        <v>-29444</v>
      </c>
      <c r="AO190" s="243">
        <f t="shared" si="23"/>
        <v>-52702</v>
      </c>
      <c r="AP190" s="243">
        <f t="shared" si="24"/>
        <v>-65363</v>
      </c>
      <c r="AQ190" s="243">
        <f t="shared" si="25"/>
        <v>-51417</v>
      </c>
    </row>
    <row r="191" spans="1:43">
      <c r="A191" s="61">
        <v>12151</v>
      </c>
      <c r="B191" s="62" t="s">
        <v>180</v>
      </c>
      <c r="C191" s="85">
        <f>_xlfn.XLOOKUP($A191,'Change in Proportion Calc'!$A$5:$A$311,'Change in Proportion Calc'!L$5:L$311,,0,)</f>
        <v>21166</v>
      </c>
      <c r="D191" s="85">
        <f>_xlfn.XLOOKUP($A191,'Change in Proportion Calc'!$A$5:$A$311,'Change in Proportion Calc'!M$5:M$311,,0,)</f>
        <v>21166</v>
      </c>
      <c r="E191" s="85">
        <f>_xlfn.XLOOKUP($A191,'Change in Proportion Calc'!$A$5:$A$311,'Change in Proportion Calc'!N$5:N$311,,0,)</f>
        <v>21166</v>
      </c>
      <c r="F191" s="85">
        <f>_xlfn.XLOOKUP($A191,'Change in Proportion Calc'!$A$5:$A$311,'Change in Proportion Calc'!O$5:O$311,,0,)</f>
        <v>21166</v>
      </c>
      <c r="G191" s="85">
        <f>_xlfn.XLOOKUP($A191,'Change in Proportion Calc'!$A$5:$A$311,'Change in Proportion Calc'!P$5:P$311,,0,)</f>
        <v>19686</v>
      </c>
      <c r="H191" s="228"/>
      <c r="I191" s="85">
        <v>686</v>
      </c>
      <c r="J191" s="85">
        <v>686</v>
      </c>
      <c r="K191" s="85">
        <v>686</v>
      </c>
      <c r="L191" s="85">
        <v>686</v>
      </c>
      <c r="M191" s="85">
        <v>597</v>
      </c>
      <c r="N191" s="85"/>
      <c r="O191" s="85">
        <v>-9688</v>
      </c>
      <c r="P191" s="85">
        <v>-9688</v>
      </c>
      <c r="Q191" s="85">
        <v>-9688</v>
      </c>
      <c r="R191" s="85">
        <v>-8621</v>
      </c>
      <c r="S191" s="228"/>
      <c r="T191" s="85">
        <v>7937</v>
      </c>
      <c r="U191" s="85">
        <v>7937</v>
      </c>
      <c r="V191" s="85">
        <v>7778</v>
      </c>
      <c r="W191" s="228"/>
      <c r="X191" s="243">
        <v>-33489</v>
      </c>
      <c r="Y191" s="244">
        <v>-32819</v>
      </c>
      <c r="Z191" s="62"/>
      <c r="AA191" s="141">
        <v>-31048</v>
      </c>
      <c r="AD191" s="244">
        <f>VLOOKUP(A191,'Change in Proportion Calc'!$A$5:$H$311,8,FALSE)+SUMIF($C$5:$AB$5,2025,C191:AB191)</f>
        <v>-44436</v>
      </c>
      <c r="AF191" s="243">
        <f t="shared" si="18"/>
        <v>122720</v>
      </c>
      <c r="AG191" s="243">
        <f t="shared" si="19"/>
        <v>60816</v>
      </c>
      <c r="AI191" s="243">
        <f>VLOOKUP(A191,'OPEB Amounts_Report'!$A$10:$G$324,7,FALSE)</f>
        <v>122720</v>
      </c>
      <c r="AJ191" s="244">
        <f t="shared" si="26"/>
        <v>0</v>
      </c>
      <c r="AK191" s="244"/>
      <c r="AL191" s="354">
        <f t="shared" si="20"/>
        <v>12151</v>
      </c>
      <c r="AM191" s="243">
        <f t="shared" si="21"/>
        <v>-12718</v>
      </c>
      <c r="AN191" s="243">
        <f t="shared" si="22"/>
        <v>19942</v>
      </c>
      <c r="AO191" s="243">
        <f t="shared" si="23"/>
        <v>13231</v>
      </c>
      <c r="AP191" s="243">
        <f t="shared" si="24"/>
        <v>21763</v>
      </c>
      <c r="AQ191" s="243">
        <f t="shared" si="25"/>
        <v>19686</v>
      </c>
    </row>
    <row r="192" spans="1:43">
      <c r="A192" s="59">
        <v>32110</v>
      </c>
      <c r="B192" s="63" t="s">
        <v>181</v>
      </c>
      <c r="C192" s="85">
        <f>_xlfn.XLOOKUP($A192,'Change in Proportion Calc'!$A$5:$A$311,'Change in Proportion Calc'!L$5:L$311,,0,)</f>
        <v>14721</v>
      </c>
      <c r="D192" s="85">
        <f>_xlfn.XLOOKUP($A192,'Change in Proportion Calc'!$A$5:$A$311,'Change in Proportion Calc'!M$5:M$311,,0,)</f>
        <v>14721</v>
      </c>
      <c r="E192" s="85">
        <f>_xlfn.XLOOKUP($A192,'Change in Proportion Calc'!$A$5:$A$311,'Change in Proportion Calc'!N$5:N$311,,0,)</f>
        <v>14721</v>
      </c>
      <c r="F192" s="85">
        <f>_xlfn.XLOOKUP($A192,'Change in Proportion Calc'!$A$5:$A$311,'Change in Proportion Calc'!O$5:O$311,,0,)</f>
        <v>14721</v>
      </c>
      <c r="G192" s="85">
        <f>_xlfn.XLOOKUP($A192,'Change in Proportion Calc'!$A$5:$A$311,'Change in Proportion Calc'!P$5:P$311,,0,)</f>
        <v>13689</v>
      </c>
      <c r="H192" s="228"/>
      <c r="I192" s="85">
        <v>44606</v>
      </c>
      <c r="J192" s="85">
        <v>44606</v>
      </c>
      <c r="K192" s="85">
        <v>44606</v>
      </c>
      <c r="L192" s="85">
        <v>44606</v>
      </c>
      <c r="M192" s="85">
        <v>38808</v>
      </c>
      <c r="N192" s="85"/>
      <c r="O192" s="85">
        <v>-58882</v>
      </c>
      <c r="P192" s="85">
        <v>-58882</v>
      </c>
      <c r="Q192" s="85">
        <v>-58882</v>
      </c>
      <c r="R192" s="85">
        <v>-52406</v>
      </c>
      <c r="S192" s="228"/>
      <c r="T192" s="85">
        <v>102371</v>
      </c>
      <c r="U192" s="85">
        <v>102371</v>
      </c>
      <c r="V192" s="85">
        <v>100322</v>
      </c>
      <c r="W192" s="228"/>
      <c r="X192" s="243">
        <v>95916</v>
      </c>
      <c r="Y192" s="244">
        <v>93996</v>
      </c>
      <c r="Z192" s="62"/>
      <c r="AA192" s="141">
        <v>-16953</v>
      </c>
      <c r="AD192" s="244">
        <f>VLOOKUP(A192,'Change in Proportion Calc'!$A$5:$H$311,8,FALSE)+SUMIF($C$5:$AB$5,2025,C192:AB192)</f>
        <v>181779</v>
      </c>
      <c r="AF192" s="243">
        <f t="shared" si="18"/>
        <v>541888</v>
      </c>
      <c r="AG192" s="243">
        <f t="shared" si="19"/>
        <v>170170</v>
      </c>
      <c r="AI192" s="243">
        <f>VLOOKUP(A192,'OPEB Amounts_Report'!$A$10:$G$324,7,FALSE)</f>
        <v>541888</v>
      </c>
      <c r="AJ192" s="244">
        <f t="shared" si="26"/>
        <v>0</v>
      </c>
      <c r="AK192" s="244"/>
      <c r="AL192" s="354">
        <f t="shared" si="20"/>
        <v>32110</v>
      </c>
      <c r="AM192" s="243">
        <f t="shared" si="21"/>
        <v>196812</v>
      </c>
      <c r="AN192" s="243">
        <f t="shared" si="22"/>
        <v>100767</v>
      </c>
      <c r="AO192" s="243">
        <f t="shared" si="23"/>
        <v>6921</v>
      </c>
      <c r="AP192" s="243">
        <f t="shared" si="24"/>
        <v>53529</v>
      </c>
      <c r="AQ192" s="243">
        <f t="shared" si="25"/>
        <v>13689</v>
      </c>
    </row>
    <row r="193" spans="1:43" s="191" customFormat="1">
      <c r="A193" s="227">
        <v>4215</v>
      </c>
      <c r="B193" s="228" t="s">
        <v>182</v>
      </c>
      <c r="C193" s="85">
        <f>_xlfn.XLOOKUP($A193,'Change in Proportion Calc'!$A$5:$A$311,'Change in Proportion Calc'!L$5:L$311,,0,)</f>
        <v>-16744</v>
      </c>
      <c r="D193" s="85">
        <f>_xlfn.XLOOKUP($A193,'Change in Proportion Calc'!$A$5:$A$311,'Change in Proportion Calc'!M$5:M$311,,0,)</f>
        <v>-16744</v>
      </c>
      <c r="E193" s="85">
        <f>_xlfn.XLOOKUP($A193,'Change in Proportion Calc'!$A$5:$A$311,'Change in Proportion Calc'!N$5:N$311,,0,)</f>
        <v>-16744</v>
      </c>
      <c r="F193" s="85">
        <f>_xlfn.XLOOKUP($A193,'Change in Proportion Calc'!$A$5:$A$311,'Change in Proportion Calc'!O$5:O$311,,0,)</f>
        <v>-16744</v>
      </c>
      <c r="G193" s="85">
        <f>_xlfn.XLOOKUP($A193,'Change in Proportion Calc'!$A$5:$A$311,'Change in Proportion Calc'!P$5:P$311,,0,)</f>
        <v>-15570</v>
      </c>
      <c r="H193" s="228"/>
      <c r="I193" s="85">
        <v>201651</v>
      </c>
      <c r="J193" s="85">
        <v>201651</v>
      </c>
      <c r="K193" s="85">
        <v>201651</v>
      </c>
      <c r="L193" s="85">
        <v>201651</v>
      </c>
      <c r="M193" s="85">
        <v>175436</v>
      </c>
      <c r="N193" s="85"/>
      <c r="O193" s="85">
        <v>-22073</v>
      </c>
      <c r="P193" s="85">
        <v>-22073</v>
      </c>
      <c r="Q193" s="85">
        <v>-22073</v>
      </c>
      <c r="R193" s="85">
        <v>-19643</v>
      </c>
      <c r="S193" s="228"/>
      <c r="T193" s="85">
        <v>-34340</v>
      </c>
      <c r="U193" s="85">
        <v>-34340</v>
      </c>
      <c r="V193" s="85">
        <v>-33651</v>
      </c>
      <c r="W193" s="228"/>
      <c r="X193" s="243">
        <v>-18462</v>
      </c>
      <c r="Y193" s="244">
        <v>-18092</v>
      </c>
      <c r="Z193" s="228"/>
      <c r="AA193" s="244">
        <v>-19870</v>
      </c>
      <c r="AD193" s="244">
        <f>VLOOKUP(A193,'Change in Proportion Calc'!$A$5:$H$311,8,FALSE)+SUMIF($C$5:$AB$5,2025,C193:AB193)</f>
        <v>90162</v>
      </c>
      <c r="AF193" s="243">
        <f t="shared" si="18"/>
        <v>780389</v>
      </c>
      <c r="AG193" s="243">
        <f t="shared" si="19"/>
        <v>232418</v>
      </c>
      <c r="AI193" s="243">
        <f>VLOOKUP(A193,'OPEB Amounts_Report'!$A$10:$G$324,7,FALSE)</f>
        <v>780389</v>
      </c>
      <c r="AJ193" s="244">
        <f t="shared" si="26"/>
        <v>0</v>
      </c>
      <c r="AK193" s="244"/>
      <c r="AL193" s="354">
        <f t="shared" si="20"/>
        <v>4215</v>
      </c>
      <c r="AM193" s="243">
        <f t="shared" si="21"/>
        <v>110402</v>
      </c>
      <c r="AN193" s="243">
        <f t="shared" si="22"/>
        <v>129183</v>
      </c>
      <c r="AO193" s="243">
        <f t="shared" si="23"/>
        <v>165264</v>
      </c>
      <c r="AP193" s="243">
        <f t="shared" si="24"/>
        <v>158692</v>
      </c>
      <c r="AQ193" s="243">
        <f t="shared" si="25"/>
        <v>-15570</v>
      </c>
    </row>
    <row r="194" spans="1:43">
      <c r="A194" s="59">
        <v>2870</v>
      </c>
      <c r="B194" s="63" t="s">
        <v>183</v>
      </c>
      <c r="C194" s="85">
        <f>_xlfn.XLOOKUP($A194,'Change in Proportion Calc'!$A$5:$A$311,'Change in Proportion Calc'!L$5:L$311,,0,)</f>
        <v>-7413</v>
      </c>
      <c r="D194" s="85">
        <f>_xlfn.XLOOKUP($A194,'Change in Proportion Calc'!$A$5:$A$311,'Change in Proportion Calc'!M$5:M$311,,0,)</f>
        <v>-7413</v>
      </c>
      <c r="E194" s="85">
        <f>_xlfn.XLOOKUP($A194,'Change in Proportion Calc'!$A$5:$A$311,'Change in Proportion Calc'!N$5:N$311,,0,)</f>
        <v>-7413</v>
      </c>
      <c r="F194" s="85">
        <f>_xlfn.XLOOKUP($A194,'Change in Proportion Calc'!$A$5:$A$311,'Change in Proportion Calc'!O$5:O$311,,0,)</f>
        <v>-7413</v>
      </c>
      <c r="G194" s="85">
        <f>_xlfn.XLOOKUP($A194,'Change in Proportion Calc'!$A$5:$A$311,'Change in Proportion Calc'!P$5:P$311,,0,)</f>
        <v>-6892</v>
      </c>
      <c r="H194" s="228"/>
      <c r="I194" s="85">
        <v>-308</v>
      </c>
      <c r="J194" s="85">
        <v>-308</v>
      </c>
      <c r="K194" s="85">
        <v>-308</v>
      </c>
      <c r="L194" s="85">
        <v>-308</v>
      </c>
      <c r="M194" s="85">
        <v>-267</v>
      </c>
      <c r="N194" s="85"/>
      <c r="O194" s="85">
        <v>13544</v>
      </c>
      <c r="P194" s="85">
        <v>13544</v>
      </c>
      <c r="Q194" s="85">
        <v>13544</v>
      </c>
      <c r="R194" s="85">
        <v>12052</v>
      </c>
      <c r="S194" s="228"/>
      <c r="T194" s="85">
        <v>2430</v>
      </c>
      <c r="U194" s="85">
        <v>2430</v>
      </c>
      <c r="V194" s="85">
        <v>2380</v>
      </c>
      <c r="W194" s="228"/>
      <c r="X194" s="243">
        <v>-17002</v>
      </c>
      <c r="Y194" s="244">
        <v>-16662</v>
      </c>
      <c r="Z194" s="62"/>
      <c r="AA194" s="141">
        <v>1430</v>
      </c>
      <c r="AD194" s="244">
        <f>VLOOKUP(A194,'Change in Proportion Calc'!$A$5:$H$311,8,FALSE)+SUMIF($C$5:$AB$5,2025,C194:AB194)</f>
        <v>-7319</v>
      </c>
      <c r="AF194" s="243">
        <f t="shared" si="18"/>
        <v>43950</v>
      </c>
      <c r="AG194" s="243">
        <f t="shared" si="19"/>
        <v>54397</v>
      </c>
      <c r="AI194" s="243">
        <f>VLOOKUP(A194,'OPEB Amounts_Report'!$A$10:$G$324,7,FALSE)</f>
        <v>43950</v>
      </c>
      <c r="AJ194" s="244">
        <f t="shared" si="26"/>
        <v>0</v>
      </c>
      <c r="AK194" s="244"/>
      <c r="AL194" s="354">
        <f t="shared" si="20"/>
        <v>2870</v>
      </c>
      <c r="AM194" s="243">
        <f t="shared" si="21"/>
        <v>-8409</v>
      </c>
      <c r="AN194" s="243">
        <f t="shared" si="22"/>
        <v>8203</v>
      </c>
      <c r="AO194" s="243">
        <f t="shared" si="23"/>
        <v>4331</v>
      </c>
      <c r="AP194" s="243">
        <f t="shared" si="24"/>
        <v>-7680</v>
      </c>
      <c r="AQ194" s="243">
        <f t="shared" si="25"/>
        <v>-6892</v>
      </c>
    </row>
    <row r="195" spans="1:43">
      <c r="A195" s="61">
        <v>29150</v>
      </c>
      <c r="B195" s="62" t="s">
        <v>184</v>
      </c>
      <c r="C195" s="85">
        <f>_xlfn.XLOOKUP($A195,'Change in Proportion Calc'!$A$5:$A$311,'Change in Proportion Calc'!L$5:L$311,,0,)</f>
        <v>-12269</v>
      </c>
      <c r="D195" s="85">
        <f>_xlfn.XLOOKUP($A195,'Change in Proportion Calc'!$A$5:$A$311,'Change in Proportion Calc'!M$5:M$311,,0,)</f>
        <v>-12269</v>
      </c>
      <c r="E195" s="85">
        <f>_xlfn.XLOOKUP($A195,'Change in Proportion Calc'!$A$5:$A$311,'Change in Proportion Calc'!N$5:N$311,,0,)</f>
        <v>-12269</v>
      </c>
      <c r="F195" s="85">
        <f>_xlfn.XLOOKUP($A195,'Change in Proportion Calc'!$A$5:$A$311,'Change in Proportion Calc'!O$5:O$311,,0,)</f>
        <v>-12269</v>
      </c>
      <c r="G195" s="85">
        <f>_xlfn.XLOOKUP($A195,'Change in Proportion Calc'!$A$5:$A$311,'Change in Proportion Calc'!P$5:P$311,,0,)</f>
        <v>-11410</v>
      </c>
      <c r="H195" s="228"/>
      <c r="I195" s="85">
        <v>157</v>
      </c>
      <c r="J195" s="85">
        <v>157</v>
      </c>
      <c r="K195" s="85">
        <v>157</v>
      </c>
      <c r="L195" s="85">
        <v>157</v>
      </c>
      <c r="M195" s="85">
        <v>137</v>
      </c>
      <c r="N195" s="85"/>
      <c r="O195" s="85">
        <v>-9308</v>
      </c>
      <c r="P195" s="85">
        <v>-9308</v>
      </c>
      <c r="Q195" s="85">
        <v>-9308</v>
      </c>
      <c r="R195" s="85">
        <v>-8283</v>
      </c>
      <c r="S195" s="228"/>
      <c r="T195" s="85">
        <v>-10771</v>
      </c>
      <c r="U195" s="85">
        <v>-10771</v>
      </c>
      <c r="V195" s="85">
        <v>-10558</v>
      </c>
      <c r="W195" s="228"/>
      <c r="X195" s="243">
        <v>-9532</v>
      </c>
      <c r="Y195" s="244">
        <v>-9339</v>
      </c>
      <c r="Z195" s="62"/>
      <c r="AA195" s="141">
        <v>-1799</v>
      </c>
      <c r="AD195" s="244">
        <f>VLOOKUP(A195,'Change in Proportion Calc'!$A$5:$H$311,8,FALSE)+SUMIF($C$5:$AB$5,2025,C195:AB195)</f>
        <v>-43522</v>
      </c>
      <c r="AF195" s="243">
        <f t="shared" si="18"/>
        <v>608</v>
      </c>
      <c r="AG195" s="243">
        <f t="shared" si="19"/>
        <v>118053</v>
      </c>
      <c r="AI195" s="243">
        <f>VLOOKUP(A195,'OPEB Amounts_Report'!$A$10:$G$324,7,FALSE)</f>
        <v>608</v>
      </c>
      <c r="AJ195" s="244">
        <f t="shared" si="26"/>
        <v>0</v>
      </c>
      <c r="AK195" s="244"/>
      <c r="AL195" s="354">
        <f t="shared" si="20"/>
        <v>29150</v>
      </c>
      <c r="AM195" s="243">
        <f t="shared" si="21"/>
        <v>-41530</v>
      </c>
      <c r="AN195" s="243">
        <f t="shared" si="22"/>
        <v>-31978</v>
      </c>
      <c r="AO195" s="243">
        <f t="shared" si="23"/>
        <v>-20395</v>
      </c>
      <c r="AP195" s="243">
        <f t="shared" si="24"/>
        <v>-12132</v>
      </c>
      <c r="AQ195" s="243">
        <f t="shared" si="25"/>
        <v>-11410</v>
      </c>
    </row>
    <row r="196" spans="1:43">
      <c r="A196" s="59">
        <v>2311</v>
      </c>
      <c r="B196" s="63" t="s">
        <v>185</v>
      </c>
      <c r="C196" s="85">
        <f>_xlfn.XLOOKUP($A196,'Change in Proportion Calc'!$A$5:$A$311,'Change in Proportion Calc'!L$5:L$311,,0,)</f>
        <v>1399</v>
      </c>
      <c r="D196" s="85">
        <f>_xlfn.XLOOKUP($A196,'Change in Proportion Calc'!$A$5:$A$311,'Change in Proportion Calc'!M$5:M$311,,0,)</f>
        <v>1399</v>
      </c>
      <c r="E196" s="85">
        <f>_xlfn.XLOOKUP($A196,'Change in Proportion Calc'!$A$5:$A$311,'Change in Proportion Calc'!N$5:N$311,,0,)</f>
        <v>1399</v>
      </c>
      <c r="F196" s="85">
        <f>_xlfn.XLOOKUP($A196,'Change in Proportion Calc'!$A$5:$A$311,'Change in Proportion Calc'!O$5:O$311,,0,)</f>
        <v>1399</v>
      </c>
      <c r="G196" s="85">
        <f>_xlfn.XLOOKUP($A196,'Change in Proportion Calc'!$A$5:$A$311,'Change in Proportion Calc'!P$5:P$311,,0,)</f>
        <v>1304</v>
      </c>
      <c r="H196" s="228"/>
      <c r="I196" s="85">
        <v>3280</v>
      </c>
      <c r="J196" s="85">
        <v>3280</v>
      </c>
      <c r="K196" s="85">
        <v>3280</v>
      </c>
      <c r="L196" s="85">
        <v>3280</v>
      </c>
      <c r="M196" s="85">
        <v>2854</v>
      </c>
      <c r="N196" s="85"/>
      <c r="O196" s="85">
        <v>24597</v>
      </c>
      <c r="P196" s="85">
        <v>24597</v>
      </c>
      <c r="Q196" s="85">
        <v>24597</v>
      </c>
      <c r="R196" s="85">
        <v>21892</v>
      </c>
      <c r="S196" s="228"/>
      <c r="T196" s="85">
        <v>-25836</v>
      </c>
      <c r="U196" s="85">
        <v>-25836</v>
      </c>
      <c r="V196" s="85">
        <v>-25317</v>
      </c>
      <c r="W196" s="228"/>
      <c r="X196" s="243">
        <v>44738</v>
      </c>
      <c r="Y196" s="244">
        <v>43842</v>
      </c>
      <c r="Z196" s="62"/>
      <c r="AA196" s="141">
        <v>-5649</v>
      </c>
      <c r="AD196" s="244">
        <f>VLOOKUP(A196,'Change in Proportion Calc'!$A$5:$H$311,8,FALSE)+SUMIF($C$5:$AB$5,2025,C196:AB196)</f>
        <v>42529</v>
      </c>
      <c r="AF196" s="243">
        <f t="shared" si="18"/>
        <v>134522</v>
      </c>
      <c r="AG196" s="243">
        <f t="shared" si="19"/>
        <v>51153</v>
      </c>
      <c r="AI196" s="243">
        <f>VLOOKUP(A196,'OPEB Amounts_Report'!$A$10:$G$324,7,FALSE)</f>
        <v>134522</v>
      </c>
      <c r="AJ196" s="244">
        <f t="shared" si="26"/>
        <v>0</v>
      </c>
      <c r="AK196" s="244"/>
      <c r="AL196" s="354">
        <f t="shared" si="20"/>
        <v>2311</v>
      </c>
      <c r="AM196" s="243">
        <f t="shared" si="21"/>
        <v>47282</v>
      </c>
      <c r="AN196" s="243">
        <f t="shared" si="22"/>
        <v>3959</v>
      </c>
      <c r="AO196" s="243">
        <f t="shared" si="23"/>
        <v>26571</v>
      </c>
      <c r="AP196" s="243">
        <f t="shared" si="24"/>
        <v>4253</v>
      </c>
      <c r="AQ196" s="243">
        <f t="shared" si="25"/>
        <v>1304</v>
      </c>
    </row>
    <row r="197" spans="1:43">
      <c r="A197" s="61">
        <v>32118</v>
      </c>
      <c r="B197" s="62" t="s">
        <v>186</v>
      </c>
      <c r="C197" s="85">
        <f>_xlfn.XLOOKUP($A197,'Change in Proportion Calc'!$A$5:$A$311,'Change in Proportion Calc'!L$5:L$311,,0,)</f>
        <v>7884</v>
      </c>
      <c r="D197" s="85">
        <f>_xlfn.XLOOKUP($A197,'Change in Proportion Calc'!$A$5:$A$311,'Change in Proportion Calc'!M$5:M$311,,0,)</f>
        <v>7884</v>
      </c>
      <c r="E197" s="85">
        <f>_xlfn.XLOOKUP($A197,'Change in Proportion Calc'!$A$5:$A$311,'Change in Proportion Calc'!N$5:N$311,,0,)</f>
        <v>7884</v>
      </c>
      <c r="F197" s="85">
        <f>_xlfn.XLOOKUP($A197,'Change in Proportion Calc'!$A$5:$A$311,'Change in Proportion Calc'!O$5:O$311,,0,)</f>
        <v>7884</v>
      </c>
      <c r="G197" s="85">
        <f>_xlfn.XLOOKUP($A197,'Change in Proportion Calc'!$A$5:$A$311,'Change in Proportion Calc'!P$5:P$311,,0,)</f>
        <v>7330</v>
      </c>
      <c r="H197" s="228"/>
      <c r="I197" s="85">
        <v>158911</v>
      </c>
      <c r="J197" s="85">
        <v>158911</v>
      </c>
      <c r="K197" s="85">
        <v>158911</v>
      </c>
      <c r="L197" s="85">
        <v>158911</v>
      </c>
      <c r="M197" s="85">
        <v>138255</v>
      </c>
      <c r="N197" s="85"/>
      <c r="O197" s="85">
        <v>74427</v>
      </c>
      <c r="P197" s="85">
        <v>74427</v>
      </c>
      <c r="Q197" s="85">
        <v>74427</v>
      </c>
      <c r="R197" s="85">
        <v>66238</v>
      </c>
      <c r="S197" s="228"/>
      <c r="T197" s="85">
        <v>351332</v>
      </c>
      <c r="U197" s="85">
        <v>351332</v>
      </c>
      <c r="V197" s="85">
        <v>344307</v>
      </c>
      <c r="W197" s="228"/>
      <c r="X197" s="243">
        <v>121762</v>
      </c>
      <c r="Y197" s="244">
        <v>119329</v>
      </c>
      <c r="Z197" s="62"/>
      <c r="AA197" s="141">
        <v>68800</v>
      </c>
      <c r="AD197" s="244">
        <f>VLOOKUP(A197,'Change in Proportion Calc'!$A$5:$H$311,8,FALSE)+SUMIF($C$5:$AB$5,2025,C197:AB197)</f>
        <v>783116</v>
      </c>
      <c r="AF197" s="243">
        <f t="shared" si="18"/>
        <v>1683914</v>
      </c>
      <c r="AG197" s="243">
        <f t="shared" si="19"/>
        <v>0</v>
      </c>
      <c r="AI197" s="243">
        <f>VLOOKUP(A197,'OPEB Amounts_Report'!$A$10:$G$324,7,FALSE)</f>
        <v>1683914</v>
      </c>
      <c r="AJ197" s="244">
        <f t="shared" si="26"/>
        <v>0</v>
      </c>
      <c r="AK197" s="244"/>
      <c r="AL197" s="354">
        <f t="shared" si="20"/>
        <v>32118</v>
      </c>
      <c r="AM197" s="243">
        <f t="shared" si="21"/>
        <v>711883</v>
      </c>
      <c r="AN197" s="243">
        <f t="shared" si="22"/>
        <v>585529</v>
      </c>
      <c r="AO197" s="243">
        <f t="shared" si="23"/>
        <v>233033</v>
      </c>
      <c r="AP197" s="243">
        <f t="shared" si="24"/>
        <v>146139</v>
      </c>
      <c r="AQ197" s="243">
        <f t="shared" si="25"/>
        <v>7330</v>
      </c>
    </row>
    <row r="198" spans="1:43">
      <c r="A198" s="59">
        <v>12039</v>
      </c>
      <c r="B198" s="63" t="s">
        <v>187</v>
      </c>
      <c r="C198" s="85">
        <f>_xlfn.XLOOKUP($A198,'Change in Proportion Calc'!$A$5:$A$311,'Change in Proportion Calc'!L$5:L$311,,0,)</f>
        <v>-40798</v>
      </c>
      <c r="D198" s="85">
        <f>_xlfn.XLOOKUP($A198,'Change in Proportion Calc'!$A$5:$A$311,'Change in Proportion Calc'!M$5:M$311,,0,)</f>
        <v>-40798</v>
      </c>
      <c r="E198" s="85">
        <f>_xlfn.XLOOKUP($A198,'Change in Proportion Calc'!$A$5:$A$311,'Change in Proportion Calc'!N$5:N$311,,0,)</f>
        <v>-40798</v>
      </c>
      <c r="F198" s="85">
        <f>_xlfn.XLOOKUP($A198,'Change in Proportion Calc'!$A$5:$A$311,'Change in Proportion Calc'!O$5:O$311,,0,)</f>
        <v>-40798</v>
      </c>
      <c r="G198" s="85">
        <f>_xlfn.XLOOKUP($A198,'Change in Proportion Calc'!$A$5:$A$311,'Change in Proportion Calc'!P$5:P$311,,0,)</f>
        <v>-37944</v>
      </c>
      <c r="H198" s="228"/>
      <c r="I198" s="85">
        <v>5551</v>
      </c>
      <c r="J198" s="85">
        <v>5551</v>
      </c>
      <c r="K198" s="85">
        <v>5551</v>
      </c>
      <c r="L198" s="85">
        <v>5551</v>
      </c>
      <c r="M198" s="85">
        <v>4828</v>
      </c>
      <c r="N198" s="85"/>
      <c r="O198" s="85">
        <v>-4528</v>
      </c>
      <c r="P198" s="85">
        <v>-4528</v>
      </c>
      <c r="Q198" s="85">
        <v>-4528</v>
      </c>
      <c r="R198" s="85">
        <v>-4029</v>
      </c>
      <c r="S198" s="228"/>
      <c r="T198" s="85">
        <v>-36931</v>
      </c>
      <c r="U198" s="85">
        <v>-36931</v>
      </c>
      <c r="V198" s="85">
        <v>-36194</v>
      </c>
      <c r="W198" s="228"/>
      <c r="X198" s="243">
        <v>-58992</v>
      </c>
      <c r="Y198" s="244">
        <v>-57813</v>
      </c>
      <c r="Z198" s="62"/>
      <c r="AA198" s="141">
        <v>3975</v>
      </c>
      <c r="AD198" s="244">
        <f>VLOOKUP(A198,'Change in Proportion Calc'!$A$5:$H$311,8,FALSE)+SUMIF($C$5:$AB$5,2025,C198:AB198)</f>
        <v>-131723</v>
      </c>
      <c r="AF198" s="243">
        <f t="shared" si="18"/>
        <v>21481</v>
      </c>
      <c r="AG198" s="243">
        <f t="shared" si="19"/>
        <v>345159</v>
      </c>
      <c r="AI198" s="243">
        <f>VLOOKUP(A198,'OPEB Amounts_Report'!$A$10:$G$324,7,FALSE)</f>
        <v>21481</v>
      </c>
      <c r="AJ198" s="244">
        <f t="shared" si="26"/>
        <v>0</v>
      </c>
      <c r="AK198" s="244"/>
      <c r="AL198" s="354">
        <f t="shared" si="20"/>
        <v>12039</v>
      </c>
      <c r="AM198" s="243">
        <f t="shared" si="21"/>
        <v>-134519</v>
      </c>
      <c r="AN198" s="243">
        <f t="shared" si="22"/>
        <v>-75969</v>
      </c>
      <c r="AO198" s="243">
        <f t="shared" si="23"/>
        <v>-39276</v>
      </c>
      <c r="AP198" s="243">
        <f t="shared" si="24"/>
        <v>-35970</v>
      </c>
      <c r="AQ198" s="243">
        <f t="shared" si="25"/>
        <v>-37944</v>
      </c>
    </row>
    <row r="199" spans="1:43">
      <c r="A199" s="61">
        <v>12150</v>
      </c>
      <c r="B199" s="62" t="s">
        <v>188</v>
      </c>
      <c r="C199" s="85">
        <f>_xlfn.XLOOKUP($A199,'Change in Proportion Calc'!$A$5:$A$311,'Change in Proportion Calc'!L$5:L$311,,0,)</f>
        <v>-13046</v>
      </c>
      <c r="D199" s="85">
        <f>_xlfn.XLOOKUP($A199,'Change in Proportion Calc'!$A$5:$A$311,'Change in Proportion Calc'!M$5:M$311,,0,)</f>
        <v>-13046</v>
      </c>
      <c r="E199" s="85">
        <f>_xlfn.XLOOKUP($A199,'Change in Proportion Calc'!$A$5:$A$311,'Change in Proportion Calc'!N$5:N$311,,0,)</f>
        <v>-13046</v>
      </c>
      <c r="F199" s="85">
        <f>_xlfn.XLOOKUP($A199,'Change in Proportion Calc'!$A$5:$A$311,'Change in Proportion Calc'!O$5:O$311,,0,)</f>
        <v>-13046</v>
      </c>
      <c r="G199" s="85">
        <f>_xlfn.XLOOKUP($A199,'Change in Proportion Calc'!$A$5:$A$311,'Change in Proportion Calc'!P$5:P$311,,0,)</f>
        <v>-12134</v>
      </c>
      <c r="H199" s="228"/>
      <c r="I199" s="85">
        <v>4408</v>
      </c>
      <c r="J199" s="85">
        <v>4408</v>
      </c>
      <c r="K199" s="85">
        <v>4408</v>
      </c>
      <c r="L199" s="85">
        <v>4408</v>
      </c>
      <c r="M199" s="85">
        <v>3837</v>
      </c>
      <c r="N199" s="85"/>
      <c r="O199" s="85">
        <v>-5426</v>
      </c>
      <c r="P199" s="85">
        <v>-5426</v>
      </c>
      <c r="Q199" s="85">
        <v>-5426</v>
      </c>
      <c r="R199" s="85">
        <v>-4830</v>
      </c>
      <c r="S199" s="228"/>
      <c r="T199" s="85">
        <v>-15469</v>
      </c>
      <c r="U199" s="85">
        <v>-15469</v>
      </c>
      <c r="V199" s="85">
        <v>-15160</v>
      </c>
      <c r="W199" s="228"/>
      <c r="X199" s="243">
        <v>9617</v>
      </c>
      <c r="Y199" s="244">
        <v>9427</v>
      </c>
      <c r="Z199" s="62"/>
      <c r="AA199" s="141">
        <v>10557</v>
      </c>
      <c r="AD199" s="244">
        <f>VLOOKUP(A199,'Change in Proportion Calc'!$A$5:$H$311,8,FALSE)+SUMIF($C$5:$AB$5,2025,C199:AB199)</f>
        <v>-9359</v>
      </c>
      <c r="AF199" s="243">
        <f t="shared" si="18"/>
        <v>26488</v>
      </c>
      <c r="AG199" s="243">
        <f t="shared" si="19"/>
        <v>110629</v>
      </c>
      <c r="AI199" s="243">
        <f>VLOOKUP(A199,'OPEB Amounts_Report'!$A$10:$G$324,7,FALSE)</f>
        <v>26488</v>
      </c>
      <c r="AJ199" s="244">
        <f t="shared" si="26"/>
        <v>0</v>
      </c>
      <c r="AK199" s="244"/>
      <c r="AL199" s="354">
        <f t="shared" si="20"/>
        <v>12150</v>
      </c>
      <c r="AM199" s="243">
        <f t="shared" si="21"/>
        <v>-20106</v>
      </c>
      <c r="AN199" s="243">
        <f t="shared" si="22"/>
        <v>-29224</v>
      </c>
      <c r="AO199" s="243">
        <f t="shared" si="23"/>
        <v>-13468</v>
      </c>
      <c r="AP199" s="243">
        <f t="shared" si="24"/>
        <v>-9209</v>
      </c>
      <c r="AQ199" s="243">
        <f t="shared" si="25"/>
        <v>-12134</v>
      </c>
    </row>
    <row r="200" spans="1:43">
      <c r="A200" s="59">
        <v>20060</v>
      </c>
      <c r="B200" s="63" t="s">
        <v>189</v>
      </c>
      <c r="C200" s="85">
        <f>_xlfn.XLOOKUP($A200,'Change in Proportion Calc'!$A$5:$A$311,'Change in Proportion Calc'!L$5:L$311,,0,)</f>
        <v>-32171</v>
      </c>
      <c r="D200" s="85">
        <f>_xlfn.XLOOKUP($A200,'Change in Proportion Calc'!$A$5:$A$311,'Change in Proportion Calc'!M$5:M$311,,0,)</f>
        <v>-32171</v>
      </c>
      <c r="E200" s="85">
        <f>_xlfn.XLOOKUP($A200,'Change in Proportion Calc'!$A$5:$A$311,'Change in Proportion Calc'!N$5:N$311,,0,)</f>
        <v>-32171</v>
      </c>
      <c r="F200" s="85">
        <f>_xlfn.XLOOKUP($A200,'Change in Proportion Calc'!$A$5:$A$311,'Change in Proportion Calc'!O$5:O$311,,0,)</f>
        <v>-32171</v>
      </c>
      <c r="G200" s="85">
        <f>_xlfn.XLOOKUP($A200,'Change in Proportion Calc'!$A$5:$A$311,'Change in Proportion Calc'!P$5:P$311,,0,)</f>
        <v>-29918</v>
      </c>
      <c r="H200" s="228"/>
      <c r="I200" s="85">
        <v>-4489</v>
      </c>
      <c r="J200" s="85">
        <v>-4489</v>
      </c>
      <c r="K200" s="85">
        <v>-4489</v>
      </c>
      <c r="L200" s="85">
        <v>-4489</v>
      </c>
      <c r="M200" s="85">
        <v>-3903</v>
      </c>
      <c r="N200" s="85"/>
      <c r="O200" s="85">
        <v>31272</v>
      </c>
      <c r="P200" s="85">
        <v>31272</v>
      </c>
      <c r="Q200" s="85">
        <v>31272</v>
      </c>
      <c r="R200" s="85">
        <v>27832</v>
      </c>
      <c r="S200" s="228"/>
      <c r="T200" s="85">
        <v>-24216</v>
      </c>
      <c r="U200" s="85">
        <v>-24216</v>
      </c>
      <c r="V200" s="85">
        <v>-23731</v>
      </c>
      <c r="W200" s="228"/>
      <c r="X200" s="243">
        <v>-24988</v>
      </c>
      <c r="Y200" s="244">
        <v>-24488</v>
      </c>
      <c r="Z200" s="62"/>
      <c r="AA200" s="141">
        <v>-119778</v>
      </c>
      <c r="AD200" s="244">
        <f>VLOOKUP(A200,'Change in Proportion Calc'!$A$5:$H$311,8,FALSE)+SUMIF($C$5:$AB$5,2025,C200:AB200)</f>
        <v>-174370</v>
      </c>
      <c r="AF200" s="243">
        <f t="shared" si="18"/>
        <v>90376</v>
      </c>
      <c r="AG200" s="243">
        <f t="shared" si="19"/>
        <v>248407</v>
      </c>
      <c r="AI200" s="243">
        <f>VLOOKUP(A200,'OPEB Amounts_Report'!$A$10:$G$324,7,FALSE)</f>
        <v>90376</v>
      </c>
      <c r="AJ200" s="244">
        <f t="shared" si="26"/>
        <v>0</v>
      </c>
      <c r="AK200" s="244"/>
      <c r="AL200" s="354">
        <f t="shared" si="20"/>
        <v>20060</v>
      </c>
      <c r="AM200" s="243">
        <f t="shared" si="21"/>
        <v>-54092</v>
      </c>
      <c r="AN200" s="243">
        <f t="shared" si="22"/>
        <v>-29119</v>
      </c>
      <c r="AO200" s="243">
        <f t="shared" si="23"/>
        <v>-8828</v>
      </c>
      <c r="AP200" s="243">
        <f t="shared" si="24"/>
        <v>-36074</v>
      </c>
      <c r="AQ200" s="243">
        <f t="shared" si="25"/>
        <v>-29918</v>
      </c>
    </row>
    <row r="201" spans="1:43">
      <c r="A201" s="61">
        <v>1001</v>
      </c>
      <c r="B201" s="62" t="s">
        <v>190</v>
      </c>
      <c r="C201" s="85">
        <f>_xlfn.XLOOKUP($A201,'Change in Proportion Calc'!$A$5:$A$311,'Change in Proportion Calc'!L$5:L$311,,0,)</f>
        <v>74352</v>
      </c>
      <c r="D201" s="85">
        <f>_xlfn.XLOOKUP($A201,'Change in Proportion Calc'!$A$5:$A$311,'Change in Proportion Calc'!M$5:M$311,,0,)</f>
        <v>74352</v>
      </c>
      <c r="E201" s="85">
        <f>_xlfn.XLOOKUP($A201,'Change in Proportion Calc'!$A$5:$A$311,'Change in Proportion Calc'!N$5:N$311,,0,)</f>
        <v>74352</v>
      </c>
      <c r="F201" s="85">
        <f>_xlfn.XLOOKUP($A201,'Change in Proportion Calc'!$A$5:$A$311,'Change in Proportion Calc'!O$5:O$311,,0,)</f>
        <v>74352</v>
      </c>
      <c r="G201" s="85">
        <f>_xlfn.XLOOKUP($A201,'Change in Proportion Calc'!$A$5:$A$311,'Change in Proportion Calc'!P$5:P$311,,0,)</f>
        <v>69148</v>
      </c>
      <c r="H201" s="228"/>
      <c r="I201" s="85">
        <v>133653</v>
      </c>
      <c r="J201" s="85">
        <v>133653</v>
      </c>
      <c r="K201" s="85">
        <v>133653</v>
      </c>
      <c r="L201" s="85">
        <v>133653</v>
      </c>
      <c r="M201" s="85">
        <v>116278</v>
      </c>
      <c r="N201" s="85"/>
      <c r="O201" s="85">
        <v>160022</v>
      </c>
      <c r="P201" s="85">
        <v>160022</v>
      </c>
      <c r="Q201" s="85">
        <v>160022</v>
      </c>
      <c r="R201" s="85">
        <v>142418</v>
      </c>
      <c r="S201" s="228"/>
      <c r="T201" s="85">
        <v>-411750</v>
      </c>
      <c r="U201" s="85">
        <v>-411750</v>
      </c>
      <c r="V201" s="85">
        <v>-403517</v>
      </c>
      <c r="W201" s="228"/>
      <c r="X201" s="243">
        <v>-42935</v>
      </c>
      <c r="Y201" s="244">
        <v>-42074</v>
      </c>
      <c r="Z201" s="62"/>
      <c r="AA201" s="141">
        <v>-147220</v>
      </c>
      <c r="AD201" s="244">
        <f>VLOOKUP(A201,'Change in Proportion Calc'!$A$5:$H$311,8,FALSE)+SUMIF($C$5:$AB$5,2025,C201:AB201)</f>
        <v>-233878</v>
      </c>
      <c r="AF201" s="243">
        <f t="shared" ref="AF201:AF264" si="27">IF(SUM(C201:G201)&gt;0,SUM(C201:G201))+IF(SUM(J201:M201)&gt;0,SUM(J201:M201),0)+IF(SUM(U201:V201)&gt;0,SUM(U201:V201),0)+IF(SUM(Y201)&gt;0,SUM(Y201),0)+IF(SUM(P201:R201)&gt;0,SUM(P201:R201),0)</f>
        <v>1346255</v>
      </c>
      <c r="AG201" s="243">
        <f t="shared" ref="AG201:AG264" si="28">+IF(SUM(C201:G201)&lt;0,-SUM(C201:G201),0)+IF(SUM(J201:M201)&lt;0,-SUM(J201:M201),0)+IF(SUM(U201:V201)&lt;0,-SUM(U201:V201),0)+IF(SUM(Y201)&lt;0,-SUM(Y201),0)+IF(SUM(P201:R201)&lt;0,-SUM(P201:R201),0)</f>
        <v>857341</v>
      </c>
      <c r="AI201" s="243">
        <f>VLOOKUP(A201,'OPEB Amounts_Report'!$A$10:$G$324,7,FALSE)</f>
        <v>1346255</v>
      </c>
      <c r="AJ201" s="244">
        <f t="shared" si="26"/>
        <v>0</v>
      </c>
      <c r="AK201" s="244"/>
      <c r="AL201" s="354">
        <f t="shared" ref="AL201:AL264" si="29">+A201</f>
        <v>1001</v>
      </c>
      <c r="AM201" s="243">
        <f t="shared" ref="AM201:AM264" si="30">+SUMIF($C$5:$AB$5,AM$5,C201:AB201)</f>
        <v>-85797</v>
      </c>
      <c r="AN201" s="243">
        <f t="shared" ref="AN201:AN264" si="31">+SUMIF($C$5:$AB$5,AN$5,C201:AB201)</f>
        <v>-35490</v>
      </c>
      <c r="AO201" s="243">
        <f t="shared" ref="AO201:AO264" si="32">+SUMIF($C$5:$AB$5,AO$5,C201:AB201)</f>
        <v>350423</v>
      </c>
      <c r="AP201" s="243">
        <f t="shared" ref="AP201:AP264" si="33">+SUMIF($C$5:$AB$5,AP$5,C201:AB201)</f>
        <v>190630</v>
      </c>
      <c r="AQ201" s="243">
        <f t="shared" ref="AQ201:AQ264" si="34">+SUMIF($C$5:$AB$5,AQ$5,C201:AB201)</f>
        <v>69148</v>
      </c>
    </row>
    <row r="202" spans="1:43">
      <c r="A202" s="59">
        <v>11035</v>
      </c>
      <c r="B202" s="63" t="s">
        <v>191</v>
      </c>
      <c r="C202" s="85">
        <f>_xlfn.XLOOKUP($A202,'Change in Proportion Calc'!$A$5:$A$311,'Change in Proportion Calc'!L$5:L$311,,0,)</f>
        <v>-81058</v>
      </c>
      <c r="D202" s="85">
        <f>_xlfn.XLOOKUP($A202,'Change in Proportion Calc'!$A$5:$A$311,'Change in Proportion Calc'!M$5:M$311,,0,)</f>
        <v>-81058</v>
      </c>
      <c r="E202" s="85">
        <f>_xlfn.XLOOKUP($A202,'Change in Proportion Calc'!$A$5:$A$311,'Change in Proportion Calc'!N$5:N$311,,0,)</f>
        <v>-81058</v>
      </c>
      <c r="F202" s="85">
        <f>_xlfn.XLOOKUP($A202,'Change in Proportion Calc'!$A$5:$A$311,'Change in Proportion Calc'!O$5:O$311,,0,)</f>
        <v>-81058</v>
      </c>
      <c r="G202" s="85">
        <f>_xlfn.XLOOKUP($A202,'Change in Proportion Calc'!$A$5:$A$311,'Change in Proportion Calc'!P$5:P$311,,0,)</f>
        <v>-75386</v>
      </c>
      <c r="H202" s="228"/>
      <c r="I202" s="85">
        <v>187318</v>
      </c>
      <c r="J202" s="85">
        <v>187318</v>
      </c>
      <c r="K202" s="85">
        <v>187318</v>
      </c>
      <c r="L202" s="85">
        <v>187318</v>
      </c>
      <c r="M202" s="85">
        <v>162969</v>
      </c>
      <c r="N202" s="85"/>
      <c r="O202" s="85">
        <v>-56445</v>
      </c>
      <c r="P202" s="85">
        <v>-56445</v>
      </c>
      <c r="Q202" s="85">
        <v>-56445</v>
      </c>
      <c r="R202" s="85">
        <v>-50238</v>
      </c>
      <c r="S202" s="228"/>
      <c r="T202" s="85">
        <v>113061</v>
      </c>
      <c r="U202" s="85">
        <v>113061</v>
      </c>
      <c r="V202" s="85">
        <v>110801</v>
      </c>
      <c r="W202" s="228"/>
      <c r="X202" s="243">
        <v>136274</v>
      </c>
      <c r="Y202" s="244">
        <v>133550</v>
      </c>
      <c r="Z202" s="62"/>
      <c r="AA202" s="141">
        <v>123686</v>
      </c>
      <c r="AD202" s="244">
        <f>VLOOKUP(A202,'Change in Proportion Calc'!$A$5:$H$311,8,FALSE)+SUMIF($C$5:$AB$5,2025,C202:AB202)</f>
        <v>422836</v>
      </c>
      <c r="AF202" s="243">
        <f t="shared" si="27"/>
        <v>1082335</v>
      </c>
      <c r="AG202" s="243">
        <f t="shared" si="28"/>
        <v>562746</v>
      </c>
      <c r="AI202" s="243">
        <f>VLOOKUP(A202,'OPEB Amounts_Report'!$A$10:$G$324,7,FALSE)</f>
        <v>1082335</v>
      </c>
      <c r="AJ202" s="244">
        <f t="shared" si="26"/>
        <v>0</v>
      </c>
      <c r="AK202" s="244"/>
      <c r="AL202" s="354">
        <f t="shared" si="29"/>
        <v>11035</v>
      </c>
      <c r="AM202" s="243">
        <f t="shared" si="30"/>
        <v>296426</v>
      </c>
      <c r="AN202" s="243">
        <f t="shared" si="31"/>
        <v>160616</v>
      </c>
      <c r="AO202" s="243">
        <f t="shared" si="32"/>
        <v>56022</v>
      </c>
      <c r="AP202" s="243">
        <f t="shared" si="33"/>
        <v>81911</v>
      </c>
      <c r="AQ202" s="243">
        <f t="shared" si="34"/>
        <v>-75386</v>
      </c>
    </row>
    <row r="203" spans="1:43">
      <c r="A203" s="61">
        <v>2320</v>
      </c>
      <c r="B203" s="62" t="s">
        <v>192</v>
      </c>
      <c r="C203" s="85">
        <f>_xlfn.XLOOKUP($A203,'Change in Proportion Calc'!$A$5:$A$311,'Change in Proportion Calc'!L$5:L$311,,0,)</f>
        <v>-11083</v>
      </c>
      <c r="D203" s="85">
        <f>_xlfn.XLOOKUP($A203,'Change in Proportion Calc'!$A$5:$A$311,'Change in Proportion Calc'!M$5:M$311,,0,)</f>
        <v>-11083</v>
      </c>
      <c r="E203" s="85">
        <f>_xlfn.XLOOKUP($A203,'Change in Proportion Calc'!$A$5:$A$311,'Change in Proportion Calc'!N$5:N$311,,0,)</f>
        <v>-11083</v>
      </c>
      <c r="F203" s="85">
        <f>_xlfn.XLOOKUP($A203,'Change in Proportion Calc'!$A$5:$A$311,'Change in Proportion Calc'!O$5:O$311,,0,)</f>
        <v>-11083</v>
      </c>
      <c r="G203" s="85">
        <f>_xlfn.XLOOKUP($A203,'Change in Proportion Calc'!$A$5:$A$311,'Change in Proportion Calc'!P$5:P$311,,0,)</f>
        <v>-10309</v>
      </c>
      <c r="H203" s="228"/>
      <c r="I203" s="85">
        <v>27365</v>
      </c>
      <c r="J203" s="85">
        <v>27365</v>
      </c>
      <c r="K203" s="85">
        <v>27365</v>
      </c>
      <c r="L203" s="85">
        <v>27365</v>
      </c>
      <c r="M203" s="85">
        <v>23809</v>
      </c>
      <c r="N203" s="85"/>
      <c r="O203" s="85">
        <v>-18322</v>
      </c>
      <c r="P203" s="85">
        <v>-18322</v>
      </c>
      <c r="Q203" s="85">
        <v>-18322</v>
      </c>
      <c r="R203" s="85">
        <v>-16305</v>
      </c>
      <c r="S203" s="228"/>
      <c r="T203" s="85">
        <v>3888</v>
      </c>
      <c r="U203" s="85">
        <v>3888</v>
      </c>
      <c r="V203" s="85">
        <v>3808</v>
      </c>
      <c r="W203" s="228"/>
      <c r="X203" s="243">
        <v>13224</v>
      </c>
      <c r="Y203" s="244">
        <v>12959</v>
      </c>
      <c r="Z203" s="62"/>
      <c r="AA203" s="141">
        <v>-5338</v>
      </c>
      <c r="AD203" s="244">
        <f>VLOOKUP(A203,'Change in Proportion Calc'!$A$5:$H$311,8,FALSE)+SUMIF($C$5:$AB$5,2025,C203:AB203)</f>
        <v>9734</v>
      </c>
      <c r="AF203" s="243">
        <f t="shared" si="27"/>
        <v>126559</v>
      </c>
      <c r="AG203" s="243">
        <f t="shared" si="28"/>
        <v>107590</v>
      </c>
      <c r="AI203" s="243">
        <f>VLOOKUP(A203,'OPEB Amounts_Report'!$A$10:$G$324,7,FALSE)</f>
        <v>126559</v>
      </c>
      <c r="AJ203" s="244">
        <f t="shared" ref="AJ203:AJ266" si="35">+AF203-AI203</f>
        <v>0</v>
      </c>
      <c r="AK203" s="244"/>
      <c r="AL203" s="354">
        <f t="shared" si="29"/>
        <v>2320</v>
      </c>
      <c r="AM203" s="243">
        <f t="shared" si="30"/>
        <v>14807</v>
      </c>
      <c r="AN203" s="243">
        <f t="shared" si="31"/>
        <v>1768</v>
      </c>
      <c r="AO203" s="243">
        <f t="shared" si="32"/>
        <v>-23</v>
      </c>
      <c r="AP203" s="243">
        <f t="shared" si="33"/>
        <v>12726</v>
      </c>
      <c r="AQ203" s="243">
        <f t="shared" si="34"/>
        <v>-10309</v>
      </c>
    </row>
    <row r="204" spans="1:43">
      <c r="A204" s="59">
        <v>28084</v>
      </c>
      <c r="B204" s="63" t="s">
        <v>193</v>
      </c>
      <c r="C204" s="85">
        <f>_xlfn.XLOOKUP($A204,'Change in Proportion Calc'!$A$5:$A$311,'Change in Proportion Calc'!L$5:L$311,,0,)</f>
        <v>11690</v>
      </c>
      <c r="D204" s="85">
        <f>_xlfn.XLOOKUP($A204,'Change in Proportion Calc'!$A$5:$A$311,'Change in Proportion Calc'!M$5:M$311,,0,)</f>
        <v>11690</v>
      </c>
      <c r="E204" s="85">
        <f>_xlfn.XLOOKUP($A204,'Change in Proportion Calc'!$A$5:$A$311,'Change in Proportion Calc'!N$5:N$311,,0,)</f>
        <v>11690</v>
      </c>
      <c r="F204" s="85">
        <f>_xlfn.XLOOKUP($A204,'Change in Proportion Calc'!$A$5:$A$311,'Change in Proportion Calc'!O$5:O$311,,0,)</f>
        <v>11690</v>
      </c>
      <c r="G204" s="85">
        <f>_xlfn.XLOOKUP($A204,'Change in Proportion Calc'!$A$5:$A$311,'Change in Proportion Calc'!P$5:P$311,,0,)</f>
        <v>10871</v>
      </c>
      <c r="H204" s="228"/>
      <c r="I204" s="85">
        <v>-6722</v>
      </c>
      <c r="J204" s="85">
        <v>-6722</v>
      </c>
      <c r="K204" s="85">
        <v>-6722</v>
      </c>
      <c r="L204" s="85">
        <v>-6722</v>
      </c>
      <c r="M204" s="85">
        <v>-5850</v>
      </c>
      <c r="N204" s="85"/>
      <c r="O204" s="85">
        <v>7845</v>
      </c>
      <c r="P204" s="85">
        <v>7845</v>
      </c>
      <c r="Q204" s="85">
        <v>7845</v>
      </c>
      <c r="R204" s="85">
        <v>6983</v>
      </c>
      <c r="S204" s="228"/>
      <c r="T204" s="85">
        <v>11257</v>
      </c>
      <c r="U204" s="85">
        <v>11257</v>
      </c>
      <c r="V204" s="85">
        <v>11034</v>
      </c>
      <c r="W204" s="228"/>
      <c r="X204" s="243">
        <v>6612</v>
      </c>
      <c r="Y204" s="244">
        <v>6479</v>
      </c>
      <c r="Z204" s="62"/>
      <c r="AA204" s="141">
        <v>-6769</v>
      </c>
      <c r="AD204" s="244">
        <f>VLOOKUP(A204,'Change in Proportion Calc'!$A$5:$H$311,8,FALSE)+SUMIF($C$5:$AB$5,2025,C204:AB204)</f>
        <v>23913</v>
      </c>
      <c r="AF204" s="243">
        <f t="shared" si="27"/>
        <v>109074</v>
      </c>
      <c r="AG204" s="243">
        <f t="shared" si="28"/>
        <v>26016</v>
      </c>
      <c r="AI204" s="243">
        <f>VLOOKUP(A204,'OPEB Amounts_Report'!$A$10:$G$324,7,FALSE)</f>
        <v>109074</v>
      </c>
      <c r="AJ204" s="244">
        <f t="shared" si="35"/>
        <v>0</v>
      </c>
      <c r="AK204" s="244"/>
      <c r="AL204" s="354">
        <f t="shared" si="29"/>
        <v>28084</v>
      </c>
      <c r="AM204" s="243">
        <f t="shared" si="30"/>
        <v>30549</v>
      </c>
      <c r="AN204" s="243">
        <f t="shared" si="31"/>
        <v>23847</v>
      </c>
      <c r="AO204" s="243">
        <f t="shared" si="32"/>
        <v>11951</v>
      </c>
      <c r="AP204" s="243">
        <f t="shared" si="33"/>
        <v>5840</v>
      </c>
      <c r="AQ204" s="243">
        <f t="shared" si="34"/>
        <v>10871</v>
      </c>
    </row>
    <row r="205" spans="1:43">
      <c r="A205" s="61">
        <v>20125</v>
      </c>
      <c r="B205" s="62" t="s">
        <v>194</v>
      </c>
      <c r="C205" s="85">
        <f>_xlfn.XLOOKUP($A205,'Change in Proportion Calc'!$A$5:$A$311,'Change in Proportion Calc'!L$5:L$311,,0,)</f>
        <v>-13991</v>
      </c>
      <c r="D205" s="85">
        <f>_xlfn.XLOOKUP($A205,'Change in Proportion Calc'!$A$5:$A$311,'Change in Proportion Calc'!M$5:M$311,,0,)</f>
        <v>-13991</v>
      </c>
      <c r="E205" s="85">
        <f>_xlfn.XLOOKUP($A205,'Change in Proportion Calc'!$A$5:$A$311,'Change in Proportion Calc'!N$5:N$311,,0,)</f>
        <v>-13991</v>
      </c>
      <c r="F205" s="85">
        <f>_xlfn.XLOOKUP($A205,'Change in Proportion Calc'!$A$5:$A$311,'Change in Proportion Calc'!O$5:O$311,,0,)</f>
        <v>-13991</v>
      </c>
      <c r="G205" s="85">
        <f>_xlfn.XLOOKUP($A205,'Change in Proportion Calc'!$A$5:$A$311,'Change in Proportion Calc'!P$5:P$311,,0,)</f>
        <v>-13009</v>
      </c>
      <c r="H205" s="228"/>
      <c r="I205" s="85">
        <v>95540</v>
      </c>
      <c r="J205" s="85">
        <v>95540</v>
      </c>
      <c r="K205" s="85">
        <v>95540</v>
      </c>
      <c r="L205" s="85">
        <v>95540</v>
      </c>
      <c r="M205" s="85">
        <v>83118</v>
      </c>
      <c r="N205" s="85"/>
      <c r="O205" s="85">
        <v>31795</v>
      </c>
      <c r="P205" s="85">
        <v>31795</v>
      </c>
      <c r="Q205" s="85">
        <v>31795</v>
      </c>
      <c r="R205" s="85">
        <v>28298</v>
      </c>
      <c r="S205" s="228"/>
      <c r="T205" s="85">
        <v>-66088</v>
      </c>
      <c r="U205" s="85">
        <v>-66088</v>
      </c>
      <c r="V205" s="85">
        <v>-64764</v>
      </c>
      <c r="W205" s="228"/>
      <c r="X205" s="243">
        <v>-24730</v>
      </c>
      <c r="Y205" s="244">
        <v>-24237</v>
      </c>
      <c r="Z205" s="62"/>
      <c r="AA205" s="141">
        <v>-57994</v>
      </c>
      <c r="AD205" s="244">
        <f>VLOOKUP(A205,'Change in Proportion Calc'!$A$5:$H$311,8,FALSE)+SUMIF($C$5:$AB$5,2025,C205:AB205)</f>
        <v>-35468</v>
      </c>
      <c r="AF205" s="243">
        <f t="shared" si="27"/>
        <v>461626</v>
      </c>
      <c r="AG205" s="243">
        <f t="shared" si="28"/>
        <v>224062</v>
      </c>
      <c r="AI205" s="243">
        <f>VLOOKUP(A205,'OPEB Amounts_Report'!$A$10:$G$324,7,FALSE)</f>
        <v>461626</v>
      </c>
      <c r="AJ205" s="244">
        <f t="shared" si="35"/>
        <v>0</v>
      </c>
      <c r="AK205" s="244"/>
      <c r="AL205" s="354">
        <f t="shared" si="29"/>
        <v>20125</v>
      </c>
      <c r="AM205" s="243">
        <f t="shared" si="30"/>
        <v>23019</v>
      </c>
      <c r="AN205" s="243">
        <f t="shared" si="31"/>
        <v>48580</v>
      </c>
      <c r="AO205" s="243">
        <f t="shared" si="32"/>
        <v>109847</v>
      </c>
      <c r="AP205" s="243">
        <f t="shared" si="33"/>
        <v>69127</v>
      </c>
      <c r="AQ205" s="243">
        <f t="shared" si="34"/>
        <v>-13009</v>
      </c>
    </row>
    <row r="206" spans="1:43">
      <c r="A206" s="61">
        <v>9029</v>
      </c>
      <c r="B206" s="62" t="s">
        <v>196</v>
      </c>
      <c r="C206" s="85">
        <f>_xlfn.XLOOKUP($A206,'Change in Proportion Calc'!$A$5:$A$311,'Change in Proportion Calc'!L$5:L$311,,0,)</f>
        <v>-28715</v>
      </c>
      <c r="D206" s="85">
        <f>_xlfn.XLOOKUP($A206,'Change in Proportion Calc'!$A$5:$A$311,'Change in Proportion Calc'!M$5:M$311,,0,)</f>
        <v>-28715</v>
      </c>
      <c r="E206" s="85">
        <f>_xlfn.XLOOKUP($A206,'Change in Proportion Calc'!$A$5:$A$311,'Change in Proportion Calc'!N$5:N$311,,0,)</f>
        <v>-28715</v>
      </c>
      <c r="F206" s="85">
        <f>_xlfn.XLOOKUP($A206,'Change in Proportion Calc'!$A$5:$A$311,'Change in Proportion Calc'!O$5:O$311,,0,)</f>
        <v>-28715</v>
      </c>
      <c r="G206" s="85">
        <f>_xlfn.XLOOKUP($A206,'Change in Proportion Calc'!$A$5:$A$311,'Change in Proportion Calc'!P$5:P$311,,0,)</f>
        <v>-26707</v>
      </c>
      <c r="H206" s="228"/>
      <c r="I206" s="85">
        <v>47087</v>
      </c>
      <c r="J206" s="85">
        <v>47087</v>
      </c>
      <c r="K206" s="85">
        <v>47087</v>
      </c>
      <c r="L206" s="85">
        <v>47087</v>
      </c>
      <c r="M206" s="85">
        <v>40968</v>
      </c>
      <c r="N206" s="85"/>
      <c r="O206" s="85">
        <v>-5556</v>
      </c>
      <c r="P206" s="85">
        <v>-5556</v>
      </c>
      <c r="Q206" s="85">
        <v>-5556</v>
      </c>
      <c r="R206" s="85">
        <v>-4947</v>
      </c>
      <c r="S206" s="228"/>
      <c r="T206" s="85">
        <v>3483</v>
      </c>
      <c r="U206" s="85">
        <v>3483</v>
      </c>
      <c r="V206" s="85">
        <v>3411</v>
      </c>
      <c r="W206" s="228"/>
      <c r="X206" s="243">
        <v>187967</v>
      </c>
      <c r="Y206" s="244">
        <v>184210</v>
      </c>
      <c r="Z206" s="62"/>
      <c r="AA206" s="141">
        <v>-116856</v>
      </c>
      <c r="AD206" s="244">
        <f>VLOOKUP(A206,'Change in Proportion Calc'!$A$5:$H$311,8,FALSE)+SUMIF($C$5:$AB$5,2025,C206:AB206)</f>
        <v>87410</v>
      </c>
      <c r="AF206" s="243">
        <f t="shared" si="27"/>
        <v>373333</v>
      </c>
      <c r="AG206" s="243">
        <f t="shared" si="28"/>
        <v>157626</v>
      </c>
      <c r="AI206" s="243">
        <f>VLOOKUP(A206,'OPEB Amounts_Report'!$A$10:$G$324,7,FALSE)</f>
        <v>373333</v>
      </c>
      <c r="AJ206" s="244">
        <f t="shared" si="35"/>
        <v>0</v>
      </c>
      <c r="AK206" s="244"/>
      <c r="AL206" s="354">
        <f t="shared" si="29"/>
        <v>9029</v>
      </c>
      <c r="AM206" s="243">
        <f t="shared" si="30"/>
        <v>200509</v>
      </c>
      <c r="AN206" s="243">
        <f t="shared" si="31"/>
        <v>16227</v>
      </c>
      <c r="AO206" s="243">
        <f t="shared" si="32"/>
        <v>13425</v>
      </c>
      <c r="AP206" s="243">
        <f t="shared" si="33"/>
        <v>12253</v>
      </c>
      <c r="AQ206" s="243">
        <f t="shared" si="34"/>
        <v>-26707</v>
      </c>
    </row>
    <row r="207" spans="1:43">
      <c r="A207" s="59">
        <v>2580</v>
      </c>
      <c r="B207" s="63" t="s">
        <v>197</v>
      </c>
      <c r="C207" s="85">
        <f>_xlfn.XLOOKUP($A207,'Change in Proportion Calc'!$A$5:$A$311,'Change in Proportion Calc'!L$5:L$311,,0,)</f>
        <v>218</v>
      </c>
      <c r="D207" s="85">
        <f>_xlfn.XLOOKUP($A207,'Change in Proportion Calc'!$A$5:$A$311,'Change in Proportion Calc'!M$5:M$311,,0,)</f>
        <v>218</v>
      </c>
      <c r="E207" s="85">
        <f>_xlfn.XLOOKUP($A207,'Change in Proportion Calc'!$A$5:$A$311,'Change in Proportion Calc'!N$5:N$311,,0,)</f>
        <v>218</v>
      </c>
      <c r="F207" s="85">
        <f>_xlfn.XLOOKUP($A207,'Change in Proportion Calc'!$A$5:$A$311,'Change in Proportion Calc'!O$5:O$311,,0,)</f>
        <v>218</v>
      </c>
      <c r="G207" s="85">
        <f>_xlfn.XLOOKUP($A207,'Change in Proportion Calc'!$A$5:$A$311,'Change in Proportion Calc'!P$5:P$311,,0,)</f>
        <v>204</v>
      </c>
      <c r="H207" s="228"/>
      <c r="I207" s="85">
        <v>-6869</v>
      </c>
      <c r="J207" s="85">
        <v>-6869</v>
      </c>
      <c r="K207" s="85">
        <v>-6869</v>
      </c>
      <c r="L207" s="85">
        <v>-6869</v>
      </c>
      <c r="M207" s="85">
        <v>-5974</v>
      </c>
      <c r="N207" s="85"/>
      <c r="O207" s="85">
        <v>-12746</v>
      </c>
      <c r="P207" s="85">
        <v>-12746</v>
      </c>
      <c r="Q207" s="85">
        <v>-12746</v>
      </c>
      <c r="R207" s="85">
        <v>-11342</v>
      </c>
      <c r="S207" s="228"/>
      <c r="T207" s="85">
        <v>-3483</v>
      </c>
      <c r="U207" s="85">
        <v>-3483</v>
      </c>
      <c r="V207" s="85">
        <v>-3411</v>
      </c>
      <c r="W207" s="228"/>
      <c r="X207" s="243">
        <v>-19664</v>
      </c>
      <c r="Y207" s="244">
        <v>-19271</v>
      </c>
      <c r="Z207" s="62"/>
      <c r="AA207" s="141">
        <v>2607</v>
      </c>
      <c r="AD207" s="244">
        <f>VLOOKUP(A207,'Change in Proportion Calc'!$A$5:$H$311,8,FALSE)+SUMIF($C$5:$AB$5,2025,C207:AB207)</f>
        <v>-39937</v>
      </c>
      <c r="AF207" s="243">
        <f t="shared" si="27"/>
        <v>1076</v>
      </c>
      <c r="AG207" s="243">
        <f t="shared" si="28"/>
        <v>89580</v>
      </c>
      <c r="AI207" s="243">
        <f>VLOOKUP(A207,'OPEB Amounts_Report'!$A$10:$G$324,7,FALSE)</f>
        <v>1076</v>
      </c>
      <c r="AJ207" s="244">
        <f t="shared" si="35"/>
        <v>0</v>
      </c>
      <c r="AK207" s="244"/>
      <c r="AL207" s="354">
        <f t="shared" si="29"/>
        <v>2580</v>
      </c>
      <c r="AM207" s="243">
        <f t="shared" si="30"/>
        <v>-42151</v>
      </c>
      <c r="AN207" s="243">
        <f t="shared" si="31"/>
        <v>-22808</v>
      </c>
      <c r="AO207" s="243">
        <f t="shared" si="32"/>
        <v>-17993</v>
      </c>
      <c r="AP207" s="243">
        <f t="shared" si="33"/>
        <v>-5756</v>
      </c>
      <c r="AQ207" s="243">
        <f t="shared" si="34"/>
        <v>204</v>
      </c>
    </row>
    <row r="208" spans="1:43">
      <c r="A208" s="61">
        <v>20312</v>
      </c>
      <c r="B208" s="62" t="s">
        <v>198</v>
      </c>
      <c r="C208" s="85">
        <f>_xlfn.XLOOKUP($A208,'Change in Proportion Calc'!$A$5:$A$311,'Change in Proportion Calc'!L$5:L$311,,0,)</f>
        <v>-4956</v>
      </c>
      <c r="D208" s="85">
        <f>_xlfn.XLOOKUP($A208,'Change in Proportion Calc'!$A$5:$A$311,'Change in Proportion Calc'!M$5:M$311,,0,)</f>
        <v>-4956</v>
      </c>
      <c r="E208" s="85">
        <f>_xlfn.XLOOKUP($A208,'Change in Proportion Calc'!$A$5:$A$311,'Change in Proportion Calc'!N$5:N$311,,0,)</f>
        <v>-4956</v>
      </c>
      <c r="F208" s="85">
        <f>_xlfn.XLOOKUP($A208,'Change in Proportion Calc'!$A$5:$A$311,'Change in Proportion Calc'!O$5:O$311,,0,)</f>
        <v>-4956</v>
      </c>
      <c r="G208" s="85">
        <f>_xlfn.XLOOKUP($A208,'Change in Proportion Calc'!$A$5:$A$311,'Change in Proportion Calc'!P$5:P$311,,0,)</f>
        <v>-4611</v>
      </c>
      <c r="H208" s="228"/>
      <c r="I208" s="85">
        <v>-2936</v>
      </c>
      <c r="J208" s="85">
        <v>-2936</v>
      </c>
      <c r="K208" s="85">
        <v>-2936</v>
      </c>
      <c r="L208" s="85">
        <v>-2936</v>
      </c>
      <c r="M208" s="85">
        <v>-2555</v>
      </c>
      <c r="N208" s="85"/>
      <c r="O208" s="85">
        <v>1073</v>
      </c>
      <c r="P208" s="85">
        <v>1073</v>
      </c>
      <c r="Q208" s="85">
        <v>1073</v>
      </c>
      <c r="R208" s="85">
        <v>953</v>
      </c>
      <c r="S208" s="228"/>
      <c r="T208" s="85">
        <v>9395</v>
      </c>
      <c r="U208" s="85">
        <v>9395</v>
      </c>
      <c r="V208" s="85">
        <v>9206</v>
      </c>
      <c r="W208" s="228"/>
      <c r="X208" s="243">
        <v>2576</v>
      </c>
      <c r="Y208" s="244">
        <v>2525</v>
      </c>
      <c r="Z208" s="62"/>
      <c r="AA208" s="141">
        <v>9002</v>
      </c>
      <c r="AD208" s="244">
        <f>VLOOKUP(A208,'Change in Proportion Calc'!$A$5:$H$311,8,FALSE)+SUMIF($C$5:$AB$5,2025,C208:AB208)</f>
        <v>14154</v>
      </c>
      <c r="AF208" s="243">
        <f t="shared" si="27"/>
        <v>24225</v>
      </c>
      <c r="AG208" s="243">
        <f t="shared" si="28"/>
        <v>35798</v>
      </c>
      <c r="AI208" s="243">
        <f>VLOOKUP(A208,'OPEB Amounts_Report'!$A$10:$G$324,7,FALSE)</f>
        <v>24225</v>
      </c>
      <c r="AJ208" s="244">
        <f t="shared" si="35"/>
        <v>0</v>
      </c>
      <c r="AK208" s="244"/>
      <c r="AL208" s="354">
        <f t="shared" si="29"/>
        <v>20312</v>
      </c>
      <c r="AM208" s="243">
        <f t="shared" si="30"/>
        <v>5101</v>
      </c>
      <c r="AN208" s="243">
        <f t="shared" si="31"/>
        <v>2387</v>
      </c>
      <c r="AO208" s="243">
        <f t="shared" si="32"/>
        <v>-6939</v>
      </c>
      <c r="AP208" s="243">
        <f t="shared" si="33"/>
        <v>-7511</v>
      </c>
      <c r="AQ208" s="243">
        <f t="shared" si="34"/>
        <v>-4611</v>
      </c>
    </row>
    <row r="209" spans="1:43">
      <c r="A209" s="227">
        <v>7445</v>
      </c>
      <c r="B209" s="228" t="s">
        <v>411</v>
      </c>
      <c r="C209" s="85">
        <f>_xlfn.XLOOKUP($A209,'Change in Proportion Calc'!$A$5:$A$311,'Change in Proportion Calc'!L$5:L$311,,0,)</f>
        <v>16072</v>
      </c>
      <c r="D209" s="85">
        <f>_xlfn.XLOOKUP($A209,'Change in Proportion Calc'!$A$5:$A$311,'Change in Proportion Calc'!M$5:M$311,,0,)</f>
        <v>16072</v>
      </c>
      <c r="E209" s="85">
        <f>_xlfn.XLOOKUP($A209,'Change in Proportion Calc'!$A$5:$A$311,'Change in Proportion Calc'!N$5:N$311,,0,)</f>
        <v>16072</v>
      </c>
      <c r="F209" s="85">
        <f>_xlfn.XLOOKUP($A209,'Change in Proportion Calc'!$A$5:$A$311,'Change in Proportion Calc'!O$5:O$311,,0,)</f>
        <v>16072</v>
      </c>
      <c r="G209" s="85">
        <f>_xlfn.XLOOKUP($A209,'Change in Proportion Calc'!$A$5:$A$311,'Change in Proportion Calc'!P$5:P$311,,0,)</f>
        <v>14948</v>
      </c>
      <c r="H209" s="228"/>
      <c r="I209" s="85">
        <v>51618</v>
      </c>
      <c r="J209" s="85">
        <v>51618</v>
      </c>
      <c r="K209" s="85">
        <v>51618</v>
      </c>
      <c r="L209" s="85">
        <v>51618</v>
      </c>
      <c r="M209" s="85">
        <v>44906</v>
      </c>
      <c r="N209" s="85"/>
      <c r="O209" s="85">
        <v>21931</v>
      </c>
      <c r="P209" s="85">
        <v>21931</v>
      </c>
      <c r="Q209" s="85">
        <v>21931</v>
      </c>
      <c r="R209" s="85">
        <v>19521</v>
      </c>
      <c r="S209" s="228"/>
      <c r="T209" s="85">
        <v>39280</v>
      </c>
      <c r="U209" s="85">
        <v>39280</v>
      </c>
      <c r="V209" s="85">
        <v>38494</v>
      </c>
      <c r="W209" s="228"/>
      <c r="X209" s="243">
        <v>45167</v>
      </c>
      <c r="Y209" s="244">
        <v>44264</v>
      </c>
      <c r="Z209" s="62"/>
      <c r="AA209" s="141"/>
      <c r="AD209" s="244">
        <f>VLOOKUP(A209,'Change in Proportion Calc'!$A$5:$H$311,8,FALSE)+SUMIF($C$5:$AB$5,2025,C209:AB209)</f>
        <v>174068</v>
      </c>
      <c r="AF209" s="243">
        <f t="shared" si="27"/>
        <v>464417</v>
      </c>
      <c r="AG209" s="243">
        <f t="shared" si="28"/>
        <v>0</v>
      </c>
      <c r="AI209" s="243">
        <f>VLOOKUP(A209,'OPEB Amounts_Report'!$A$10:$G$324,7,FALSE)</f>
        <v>464417</v>
      </c>
      <c r="AJ209" s="244">
        <f t="shared" si="35"/>
        <v>0</v>
      </c>
      <c r="AK209" s="244"/>
      <c r="AL209" s="354">
        <f t="shared" si="29"/>
        <v>7445</v>
      </c>
      <c r="AM209" s="243">
        <f t="shared" si="30"/>
        <v>173165</v>
      </c>
      <c r="AN209" s="243">
        <f t="shared" si="31"/>
        <v>128115</v>
      </c>
      <c r="AO209" s="243">
        <f t="shared" si="32"/>
        <v>87211</v>
      </c>
      <c r="AP209" s="243">
        <f t="shared" si="33"/>
        <v>60978</v>
      </c>
      <c r="AQ209" s="243">
        <f t="shared" si="34"/>
        <v>14948</v>
      </c>
    </row>
    <row r="210" spans="1:43">
      <c r="A210" s="59">
        <v>26150</v>
      </c>
      <c r="B210" s="63" t="s">
        <v>199</v>
      </c>
      <c r="C210" s="85">
        <f>_xlfn.XLOOKUP($A210,'Change in Proportion Calc'!$A$5:$A$311,'Change in Proportion Calc'!L$5:L$311,,0,)</f>
        <v>-25286</v>
      </c>
      <c r="D210" s="85">
        <f>_xlfn.XLOOKUP($A210,'Change in Proportion Calc'!$A$5:$A$311,'Change in Proportion Calc'!M$5:M$311,,0,)</f>
        <v>-25286</v>
      </c>
      <c r="E210" s="85">
        <f>_xlfn.XLOOKUP($A210,'Change in Proportion Calc'!$A$5:$A$311,'Change in Proportion Calc'!N$5:N$311,,0,)</f>
        <v>-25286</v>
      </c>
      <c r="F210" s="85">
        <f>_xlfn.XLOOKUP($A210,'Change in Proportion Calc'!$A$5:$A$311,'Change in Proportion Calc'!O$5:O$311,,0,)</f>
        <v>-25286</v>
      </c>
      <c r="G210" s="85">
        <f>_xlfn.XLOOKUP($A210,'Change in Proportion Calc'!$A$5:$A$311,'Change in Proportion Calc'!P$5:P$311,,0,)</f>
        <v>-23516</v>
      </c>
      <c r="H210" s="228"/>
      <c r="I210" s="85">
        <v>9223</v>
      </c>
      <c r="J210" s="85">
        <v>9223</v>
      </c>
      <c r="K210" s="85">
        <v>9223</v>
      </c>
      <c r="L210" s="85">
        <v>9223</v>
      </c>
      <c r="M210" s="85">
        <v>8026</v>
      </c>
      <c r="N210" s="85"/>
      <c r="O210" s="85">
        <v>35079</v>
      </c>
      <c r="P210" s="85">
        <v>35079</v>
      </c>
      <c r="Q210" s="85">
        <v>35079</v>
      </c>
      <c r="R210" s="85">
        <v>31219</v>
      </c>
      <c r="S210" s="228"/>
      <c r="T210" s="85">
        <v>-15388</v>
      </c>
      <c r="U210" s="85">
        <v>-15388</v>
      </c>
      <c r="V210" s="85">
        <v>-15080</v>
      </c>
      <c r="W210" s="228"/>
      <c r="X210" s="243">
        <v>1116</v>
      </c>
      <c r="Y210" s="244">
        <v>1095</v>
      </c>
      <c r="Z210" s="62"/>
      <c r="AA210" s="141">
        <v>91712</v>
      </c>
      <c r="AD210" s="244">
        <f>VLOOKUP(A210,'Change in Proportion Calc'!$A$5:$H$311,8,FALSE)+SUMIF($C$5:$AB$5,2025,C210:AB210)</f>
        <v>96456</v>
      </c>
      <c r="AF210" s="243">
        <f t="shared" si="27"/>
        <v>138167</v>
      </c>
      <c r="AG210" s="243">
        <f t="shared" si="28"/>
        <v>155128</v>
      </c>
      <c r="AI210" s="243">
        <f>VLOOKUP(A210,'OPEB Amounts_Report'!$A$10:$G$324,7,FALSE)</f>
        <v>138167</v>
      </c>
      <c r="AJ210" s="244">
        <f t="shared" si="35"/>
        <v>0</v>
      </c>
      <c r="AK210" s="244"/>
      <c r="AL210" s="354">
        <f t="shared" si="29"/>
        <v>26150</v>
      </c>
      <c r="AM210" s="243">
        <f t="shared" si="30"/>
        <v>4723</v>
      </c>
      <c r="AN210" s="243">
        <f t="shared" si="31"/>
        <v>3936</v>
      </c>
      <c r="AO210" s="243">
        <f t="shared" si="32"/>
        <v>15156</v>
      </c>
      <c r="AP210" s="243">
        <f t="shared" si="33"/>
        <v>-17260</v>
      </c>
      <c r="AQ210" s="243">
        <f t="shared" si="34"/>
        <v>-23516</v>
      </c>
    </row>
    <row r="211" spans="1:43">
      <c r="A211" s="61">
        <v>5016</v>
      </c>
      <c r="B211" s="62" t="s">
        <v>200</v>
      </c>
      <c r="C211" s="85">
        <f>_xlfn.XLOOKUP($A211,'Change in Proportion Calc'!$A$5:$A$311,'Change in Proportion Calc'!L$5:L$311,,0,)</f>
        <v>10808</v>
      </c>
      <c r="D211" s="85">
        <f>_xlfn.XLOOKUP($A211,'Change in Proportion Calc'!$A$5:$A$311,'Change in Proportion Calc'!M$5:M$311,,0,)</f>
        <v>10808</v>
      </c>
      <c r="E211" s="85">
        <f>_xlfn.XLOOKUP($A211,'Change in Proportion Calc'!$A$5:$A$311,'Change in Proportion Calc'!N$5:N$311,,0,)</f>
        <v>10808</v>
      </c>
      <c r="F211" s="85">
        <f>_xlfn.XLOOKUP($A211,'Change in Proportion Calc'!$A$5:$A$311,'Change in Proportion Calc'!O$5:O$311,,0,)</f>
        <v>10808</v>
      </c>
      <c r="G211" s="85">
        <f>_xlfn.XLOOKUP($A211,'Change in Proportion Calc'!$A$5:$A$311,'Change in Proportion Calc'!P$5:P$311,,0,)</f>
        <v>10054</v>
      </c>
      <c r="H211" s="228"/>
      <c r="I211" s="85">
        <v>4764</v>
      </c>
      <c r="J211" s="85">
        <v>4764</v>
      </c>
      <c r="K211" s="85">
        <v>4764</v>
      </c>
      <c r="L211" s="85">
        <v>4764</v>
      </c>
      <c r="M211" s="85">
        <v>4143</v>
      </c>
      <c r="N211" s="85"/>
      <c r="O211" s="85">
        <v>-94</v>
      </c>
      <c r="P211" s="85">
        <v>-94</v>
      </c>
      <c r="Q211" s="85">
        <v>-94</v>
      </c>
      <c r="R211" s="85">
        <v>-85</v>
      </c>
      <c r="S211" s="228"/>
      <c r="T211" s="85">
        <v>162</v>
      </c>
      <c r="U211" s="85">
        <v>162</v>
      </c>
      <c r="V211" s="85">
        <v>159</v>
      </c>
      <c r="W211" s="228"/>
      <c r="X211" s="243">
        <v>-13310</v>
      </c>
      <c r="Y211" s="244">
        <v>-13042</v>
      </c>
      <c r="Z211" s="62"/>
      <c r="AA211" s="141">
        <v>-8381</v>
      </c>
      <c r="AD211" s="244">
        <f>VLOOKUP(A211,'Change in Proportion Calc'!$A$5:$H$311,8,FALSE)+SUMIF($C$5:$AB$5,2025,C211:AB211)</f>
        <v>-6051</v>
      </c>
      <c r="AF211" s="243">
        <f t="shared" si="27"/>
        <v>72042</v>
      </c>
      <c r="AG211" s="243">
        <f t="shared" si="28"/>
        <v>13315</v>
      </c>
      <c r="AI211" s="243">
        <f>VLOOKUP(A211,'OPEB Amounts_Report'!$A$10:$G$324,7,FALSE)</f>
        <v>72042</v>
      </c>
      <c r="AJ211" s="244">
        <f t="shared" si="35"/>
        <v>0</v>
      </c>
      <c r="AK211" s="244"/>
      <c r="AL211" s="354">
        <f t="shared" si="29"/>
        <v>5016</v>
      </c>
      <c r="AM211" s="243">
        <f t="shared" si="30"/>
        <v>2598</v>
      </c>
      <c r="AN211" s="243">
        <f t="shared" si="31"/>
        <v>15637</v>
      </c>
      <c r="AO211" s="243">
        <f t="shared" si="32"/>
        <v>15487</v>
      </c>
      <c r="AP211" s="243">
        <f t="shared" si="33"/>
        <v>14951</v>
      </c>
      <c r="AQ211" s="243">
        <f t="shared" si="34"/>
        <v>10054</v>
      </c>
    </row>
    <row r="212" spans="1:43">
      <c r="A212" s="59">
        <v>6150</v>
      </c>
      <c r="B212" s="63" t="s">
        <v>201</v>
      </c>
      <c r="C212" s="85">
        <f>_xlfn.XLOOKUP($A212,'Change in Proportion Calc'!$A$5:$A$311,'Change in Proportion Calc'!L$5:L$311,,0,)</f>
        <v>-19987</v>
      </c>
      <c r="D212" s="85">
        <f>_xlfn.XLOOKUP($A212,'Change in Proportion Calc'!$A$5:$A$311,'Change in Proportion Calc'!M$5:M$311,,0,)</f>
        <v>-19987</v>
      </c>
      <c r="E212" s="85">
        <f>_xlfn.XLOOKUP($A212,'Change in Proportion Calc'!$A$5:$A$311,'Change in Proportion Calc'!N$5:N$311,,0,)</f>
        <v>-19987</v>
      </c>
      <c r="F212" s="85">
        <f>_xlfn.XLOOKUP($A212,'Change in Proportion Calc'!$A$5:$A$311,'Change in Proportion Calc'!O$5:O$311,,0,)</f>
        <v>-19987</v>
      </c>
      <c r="G212" s="85">
        <f>_xlfn.XLOOKUP($A212,'Change in Proportion Calc'!$A$5:$A$311,'Change in Proportion Calc'!P$5:P$311,,0,)</f>
        <v>-18589</v>
      </c>
      <c r="H212" s="228"/>
      <c r="I212" s="85">
        <v>28358</v>
      </c>
      <c r="J212" s="85">
        <v>28358</v>
      </c>
      <c r="K212" s="85">
        <v>28358</v>
      </c>
      <c r="L212" s="85">
        <v>28358</v>
      </c>
      <c r="M212" s="85">
        <v>24673</v>
      </c>
      <c r="N212" s="85"/>
      <c r="O212" s="85">
        <v>7749</v>
      </c>
      <c r="P212" s="85">
        <v>7749</v>
      </c>
      <c r="Q212" s="85">
        <v>7749</v>
      </c>
      <c r="R212" s="85">
        <v>6896</v>
      </c>
      <c r="S212" s="228"/>
      <c r="T212" s="85">
        <v>-8099</v>
      </c>
      <c r="U212" s="85">
        <v>-8099</v>
      </c>
      <c r="V212" s="85">
        <v>-7937</v>
      </c>
      <c r="W212" s="228"/>
      <c r="X212" s="243">
        <v>15800</v>
      </c>
      <c r="Y212" s="244">
        <v>15483</v>
      </c>
      <c r="Z212" s="62"/>
      <c r="AA212" s="141">
        <v>10308</v>
      </c>
      <c r="AD212" s="244">
        <f>VLOOKUP(A212,'Change in Proportion Calc'!$A$5:$H$311,8,FALSE)+SUMIF($C$5:$AB$5,2025,C212:AB212)</f>
        <v>34129</v>
      </c>
      <c r="AF212" s="243">
        <f t="shared" si="27"/>
        <v>147624</v>
      </c>
      <c r="AG212" s="243">
        <f t="shared" si="28"/>
        <v>114573</v>
      </c>
      <c r="AI212" s="243">
        <f>VLOOKUP(A212,'OPEB Amounts_Report'!$A$10:$G$324,7,FALSE)</f>
        <v>147624</v>
      </c>
      <c r="AJ212" s="244">
        <f t="shared" si="35"/>
        <v>0</v>
      </c>
      <c r="AK212" s="244"/>
      <c r="AL212" s="354">
        <f t="shared" si="29"/>
        <v>6150</v>
      </c>
      <c r="AM212" s="243">
        <f t="shared" si="30"/>
        <v>23504</v>
      </c>
      <c r="AN212" s="243">
        <f t="shared" si="31"/>
        <v>8183</v>
      </c>
      <c r="AO212" s="243">
        <f t="shared" si="32"/>
        <v>15267</v>
      </c>
      <c r="AP212" s="243">
        <f t="shared" si="33"/>
        <v>4686</v>
      </c>
      <c r="AQ212" s="243">
        <f t="shared" si="34"/>
        <v>-18589</v>
      </c>
    </row>
    <row r="213" spans="1:43">
      <c r="A213" s="61">
        <v>4480</v>
      </c>
      <c r="B213" s="62" t="s">
        <v>202</v>
      </c>
      <c r="C213" s="85">
        <f>_xlfn.XLOOKUP($A213,'Change in Proportion Calc'!$A$5:$A$311,'Change in Proportion Calc'!L$5:L$311,,0,)</f>
        <v>812</v>
      </c>
      <c r="D213" s="85">
        <f>_xlfn.XLOOKUP($A213,'Change in Proportion Calc'!$A$5:$A$311,'Change in Proportion Calc'!M$5:M$311,,0,)</f>
        <v>812</v>
      </c>
      <c r="E213" s="85">
        <f>_xlfn.XLOOKUP($A213,'Change in Proportion Calc'!$A$5:$A$311,'Change in Proportion Calc'!N$5:N$311,,0,)</f>
        <v>812</v>
      </c>
      <c r="F213" s="85">
        <f>_xlfn.XLOOKUP($A213,'Change in Proportion Calc'!$A$5:$A$311,'Change in Proportion Calc'!O$5:O$311,,0,)</f>
        <v>812</v>
      </c>
      <c r="G213" s="85">
        <f>_xlfn.XLOOKUP($A213,'Change in Proportion Calc'!$A$5:$A$311,'Change in Proportion Calc'!P$5:P$311,,0,)</f>
        <v>757</v>
      </c>
      <c r="H213" s="228"/>
      <c r="I213" s="85">
        <v>10662</v>
      </c>
      <c r="J213" s="85">
        <v>10662</v>
      </c>
      <c r="K213" s="85">
        <v>10662</v>
      </c>
      <c r="L213" s="85">
        <v>10662</v>
      </c>
      <c r="M213" s="85">
        <v>9278</v>
      </c>
      <c r="N213" s="85"/>
      <c r="O213" s="85">
        <v>-14032</v>
      </c>
      <c r="P213" s="85">
        <v>-14032</v>
      </c>
      <c r="Q213" s="85">
        <v>-14032</v>
      </c>
      <c r="R213" s="85">
        <v>-12487</v>
      </c>
      <c r="S213" s="228"/>
      <c r="T213" s="85">
        <v>-16360</v>
      </c>
      <c r="U213" s="85">
        <v>-16360</v>
      </c>
      <c r="V213" s="85">
        <v>-16032</v>
      </c>
      <c r="W213" s="228"/>
      <c r="X213" s="243">
        <v>-9789</v>
      </c>
      <c r="Y213" s="244">
        <v>-9594</v>
      </c>
      <c r="Z213" s="62"/>
      <c r="AA213" s="141">
        <v>4721</v>
      </c>
      <c r="AD213" s="244">
        <f>VLOOKUP(A213,'Change in Proportion Calc'!$A$5:$H$311,8,FALSE)+SUMIF($C$5:$AB$5,2025,C213:AB213)</f>
        <v>-23986</v>
      </c>
      <c r="AF213" s="243">
        <f t="shared" si="27"/>
        <v>45269</v>
      </c>
      <c r="AG213" s="243">
        <f t="shared" si="28"/>
        <v>82537</v>
      </c>
      <c r="AI213" s="243">
        <f>VLOOKUP(A213,'OPEB Amounts_Report'!$A$10:$G$324,7,FALSE)</f>
        <v>45269</v>
      </c>
      <c r="AJ213" s="244">
        <f t="shared" si="35"/>
        <v>0</v>
      </c>
      <c r="AK213" s="244"/>
      <c r="AL213" s="354">
        <f t="shared" si="29"/>
        <v>4480</v>
      </c>
      <c r="AM213" s="243">
        <f t="shared" si="30"/>
        <v>-28512</v>
      </c>
      <c r="AN213" s="243">
        <f t="shared" si="31"/>
        <v>-18590</v>
      </c>
      <c r="AO213" s="243">
        <f t="shared" si="32"/>
        <v>-1013</v>
      </c>
      <c r="AP213" s="243">
        <f t="shared" si="33"/>
        <v>10090</v>
      </c>
      <c r="AQ213" s="243">
        <f t="shared" si="34"/>
        <v>757</v>
      </c>
    </row>
    <row r="214" spans="1:43">
      <c r="A214" s="59">
        <v>28085</v>
      </c>
      <c r="B214" s="63" t="s">
        <v>203</v>
      </c>
      <c r="C214" s="85">
        <f>_xlfn.XLOOKUP($A214,'Change in Proportion Calc'!$A$5:$A$311,'Change in Proportion Calc'!L$5:L$311,,0,)</f>
        <v>-7685</v>
      </c>
      <c r="D214" s="85">
        <f>_xlfn.XLOOKUP($A214,'Change in Proportion Calc'!$A$5:$A$311,'Change in Proportion Calc'!M$5:M$311,,0,)</f>
        <v>-7685</v>
      </c>
      <c r="E214" s="85">
        <f>_xlfn.XLOOKUP($A214,'Change in Proportion Calc'!$A$5:$A$311,'Change in Proportion Calc'!N$5:N$311,,0,)</f>
        <v>-7685</v>
      </c>
      <c r="F214" s="85">
        <f>_xlfn.XLOOKUP($A214,'Change in Proportion Calc'!$A$5:$A$311,'Change in Proportion Calc'!O$5:O$311,,0,)</f>
        <v>-7685</v>
      </c>
      <c r="G214" s="85">
        <f>_xlfn.XLOOKUP($A214,'Change in Proportion Calc'!$A$5:$A$311,'Change in Proportion Calc'!P$5:P$311,,0,)</f>
        <v>-7145</v>
      </c>
      <c r="H214" s="228"/>
      <c r="I214" s="85">
        <v>9398</v>
      </c>
      <c r="J214" s="85">
        <v>9398</v>
      </c>
      <c r="K214" s="85">
        <v>9398</v>
      </c>
      <c r="L214" s="85">
        <v>9398</v>
      </c>
      <c r="M214" s="85">
        <v>8174</v>
      </c>
      <c r="N214" s="85"/>
      <c r="O214" s="85">
        <v>1167</v>
      </c>
      <c r="P214" s="85">
        <v>1167</v>
      </c>
      <c r="Q214" s="85">
        <v>1167</v>
      </c>
      <c r="R214" s="85">
        <v>1040</v>
      </c>
      <c r="S214" s="228"/>
      <c r="T214" s="85">
        <v>-16846</v>
      </c>
      <c r="U214" s="85">
        <v>-16846</v>
      </c>
      <c r="V214" s="85">
        <v>-16508</v>
      </c>
      <c r="W214" s="228"/>
      <c r="X214" s="243">
        <v>-1116</v>
      </c>
      <c r="Y214" s="244">
        <v>-1095</v>
      </c>
      <c r="Z214" s="62"/>
      <c r="AA214" s="141">
        <v>-5774</v>
      </c>
      <c r="AD214" s="244">
        <f>VLOOKUP(A214,'Change in Proportion Calc'!$A$5:$H$311,8,FALSE)+SUMIF($C$5:$AB$5,2025,C214:AB214)</f>
        <v>-20856</v>
      </c>
      <c r="AF214" s="243">
        <f t="shared" si="27"/>
        <v>39742</v>
      </c>
      <c r="AG214" s="243">
        <f t="shared" si="28"/>
        <v>72334</v>
      </c>
      <c r="AI214" s="243">
        <f>VLOOKUP(A214,'OPEB Amounts_Report'!$A$10:$G$324,7,FALSE)</f>
        <v>39742</v>
      </c>
      <c r="AJ214" s="244">
        <f t="shared" si="35"/>
        <v>0</v>
      </c>
      <c r="AK214" s="244"/>
      <c r="AL214" s="354">
        <f t="shared" si="29"/>
        <v>28085</v>
      </c>
      <c r="AM214" s="243">
        <f t="shared" si="30"/>
        <v>-15061</v>
      </c>
      <c r="AN214" s="243">
        <f t="shared" si="31"/>
        <v>-13628</v>
      </c>
      <c r="AO214" s="243">
        <f t="shared" si="32"/>
        <v>2753</v>
      </c>
      <c r="AP214" s="243">
        <f t="shared" si="33"/>
        <v>489</v>
      </c>
      <c r="AQ214" s="243">
        <f t="shared" si="34"/>
        <v>-7145</v>
      </c>
    </row>
    <row r="215" spans="1:43">
      <c r="A215" s="61">
        <v>3240</v>
      </c>
      <c r="B215" s="62" t="s">
        <v>204</v>
      </c>
      <c r="C215" s="85">
        <f>_xlfn.XLOOKUP($A215,'Change in Proportion Calc'!$A$5:$A$311,'Change in Proportion Calc'!L$5:L$311,,0,)</f>
        <v>104884</v>
      </c>
      <c r="D215" s="85">
        <f>_xlfn.XLOOKUP($A215,'Change in Proportion Calc'!$A$5:$A$311,'Change in Proportion Calc'!M$5:M$311,,0,)</f>
        <v>104884</v>
      </c>
      <c r="E215" s="85">
        <f>_xlfn.XLOOKUP($A215,'Change in Proportion Calc'!$A$5:$A$311,'Change in Proportion Calc'!N$5:N$311,,0,)</f>
        <v>104884</v>
      </c>
      <c r="F215" s="85">
        <f>_xlfn.XLOOKUP($A215,'Change in Proportion Calc'!$A$5:$A$311,'Change in Proportion Calc'!O$5:O$311,,0,)</f>
        <v>104884</v>
      </c>
      <c r="G215" s="85">
        <f>_xlfn.XLOOKUP($A215,'Change in Proportion Calc'!$A$5:$A$311,'Change in Proportion Calc'!P$5:P$311,,0,)</f>
        <v>97543</v>
      </c>
      <c r="H215" s="228"/>
      <c r="I215" s="85">
        <v>-171915</v>
      </c>
      <c r="J215" s="85">
        <v>-171915</v>
      </c>
      <c r="K215" s="85">
        <v>-171915</v>
      </c>
      <c r="L215" s="85">
        <v>-171915</v>
      </c>
      <c r="M215" s="85">
        <v>-149568</v>
      </c>
      <c r="N215" s="85"/>
      <c r="O215" s="85">
        <v>-123642</v>
      </c>
      <c r="P215" s="85">
        <v>-123642</v>
      </c>
      <c r="Q215" s="85">
        <v>-123642</v>
      </c>
      <c r="R215" s="85">
        <v>-110043</v>
      </c>
      <c r="S215" s="228"/>
      <c r="T215" s="85">
        <v>56936</v>
      </c>
      <c r="U215" s="85">
        <v>56936</v>
      </c>
      <c r="V215" s="85">
        <v>55795</v>
      </c>
      <c r="W215" s="228"/>
      <c r="X215" s="243">
        <v>-44137</v>
      </c>
      <c r="Y215" s="244">
        <v>-43253</v>
      </c>
      <c r="Z215" s="62"/>
      <c r="AA215" s="141">
        <v>-75999</v>
      </c>
      <c r="AD215" s="244">
        <f>VLOOKUP(A215,'Change in Proportion Calc'!$A$5:$H$311,8,FALSE)+SUMIF($C$5:$AB$5,2025,C215:AB215)</f>
        <v>-253873</v>
      </c>
      <c r="AF215" s="243">
        <f t="shared" si="27"/>
        <v>629810</v>
      </c>
      <c r="AG215" s="243">
        <f t="shared" si="28"/>
        <v>1065893</v>
      </c>
      <c r="AI215" s="243">
        <f>VLOOKUP(A215,'OPEB Amounts_Report'!$A$10:$G$324,7,FALSE)</f>
        <v>629810</v>
      </c>
      <c r="AJ215" s="244">
        <f t="shared" si="35"/>
        <v>0</v>
      </c>
      <c r="AK215" s="244"/>
      <c r="AL215" s="354">
        <f t="shared" si="29"/>
        <v>3240</v>
      </c>
      <c r="AM215" s="243">
        <f t="shared" si="30"/>
        <v>-176990</v>
      </c>
      <c r="AN215" s="243">
        <f t="shared" si="31"/>
        <v>-134878</v>
      </c>
      <c r="AO215" s="243">
        <f t="shared" si="32"/>
        <v>-177074</v>
      </c>
      <c r="AP215" s="243">
        <f t="shared" si="33"/>
        <v>-44684</v>
      </c>
      <c r="AQ215" s="243">
        <f t="shared" si="34"/>
        <v>97543</v>
      </c>
    </row>
    <row r="216" spans="1:43">
      <c r="A216" s="59">
        <v>12326</v>
      </c>
      <c r="B216" s="63" t="s">
        <v>205</v>
      </c>
      <c r="C216" s="85">
        <f>_xlfn.XLOOKUP($A216,'Change in Proportion Calc'!$A$5:$A$311,'Change in Proportion Calc'!L$5:L$311,,0,)</f>
        <v>8646</v>
      </c>
      <c r="D216" s="85">
        <f>_xlfn.XLOOKUP($A216,'Change in Proportion Calc'!$A$5:$A$311,'Change in Proportion Calc'!M$5:M$311,,0,)</f>
        <v>8646</v>
      </c>
      <c r="E216" s="85">
        <f>_xlfn.XLOOKUP($A216,'Change in Proportion Calc'!$A$5:$A$311,'Change in Proportion Calc'!N$5:N$311,,0,)</f>
        <v>8646</v>
      </c>
      <c r="F216" s="85">
        <f>_xlfn.XLOOKUP($A216,'Change in Proportion Calc'!$A$5:$A$311,'Change in Proportion Calc'!O$5:O$311,,0,)</f>
        <v>8646</v>
      </c>
      <c r="G216" s="85">
        <f>_xlfn.XLOOKUP($A216,'Change in Proportion Calc'!$A$5:$A$311,'Change in Proportion Calc'!P$5:P$311,,0,)</f>
        <v>8038</v>
      </c>
      <c r="H216" s="228"/>
      <c r="I216" s="85">
        <v>19907</v>
      </c>
      <c r="J216" s="85">
        <v>19907</v>
      </c>
      <c r="K216" s="85">
        <v>19907</v>
      </c>
      <c r="L216" s="85">
        <v>19907</v>
      </c>
      <c r="M216" s="85">
        <v>17321</v>
      </c>
      <c r="N216" s="85"/>
      <c r="O216" s="85">
        <v>5085</v>
      </c>
      <c r="P216" s="85">
        <v>5085</v>
      </c>
      <c r="Q216" s="85">
        <v>5085</v>
      </c>
      <c r="R216" s="85">
        <v>4525</v>
      </c>
      <c r="S216" s="228"/>
      <c r="T216" s="85">
        <v>-6074</v>
      </c>
      <c r="U216" s="85">
        <v>-6074</v>
      </c>
      <c r="V216" s="85">
        <v>-5954</v>
      </c>
      <c r="W216" s="228"/>
      <c r="X216" s="243">
        <v>16229</v>
      </c>
      <c r="Y216" s="244">
        <v>15906</v>
      </c>
      <c r="Z216" s="62"/>
      <c r="AA216" s="141">
        <v>-2545</v>
      </c>
      <c r="AD216" s="244">
        <f>VLOOKUP(A216,'Change in Proportion Calc'!$A$5:$H$311,8,FALSE)+SUMIF($C$5:$AB$5,2025,C216:AB216)</f>
        <v>41248</v>
      </c>
      <c r="AF216" s="243">
        <f t="shared" si="27"/>
        <v>150265</v>
      </c>
      <c r="AG216" s="243">
        <f t="shared" si="28"/>
        <v>12028</v>
      </c>
      <c r="AI216" s="243">
        <f>VLOOKUP(A216,'OPEB Amounts_Report'!$A$10:$G$324,7,FALSE)</f>
        <v>150265</v>
      </c>
      <c r="AJ216" s="244">
        <f t="shared" si="35"/>
        <v>0</v>
      </c>
      <c r="AK216" s="244"/>
      <c r="AL216" s="354">
        <f t="shared" si="29"/>
        <v>12326</v>
      </c>
      <c r="AM216" s="243">
        <f t="shared" si="30"/>
        <v>43470</v>
      </c>
      <c r="AN216" s="243">
        <f t="shared" si="31"/>
        <v>27684</v>
      </c>
      <c r="AO216" s="243">
        <f t="shared" si="32"/>
        <v>33078</v>
      </c>
      <c r="AP216" s="243">
        <f t="shared" si="33"/>
        <v>25967</v>
      </c>
      <c r="AQ216" s="243">
        <f t="shared" si="34"/>
        <v>8038</v>
      </c>
    </row>
    <row r="217" spans="1:43" s="191" customFormat="1">
      <c r="A217" s="59">
        <v>2445</v>
      </c>
      <c r="B217" s="63" t="s">
        <v>446</v>
      </c>
      <c r="C217" s="85">
        <f>_xlfn.XLOOKUP($A217,'Change in Proportion Calc'!$A$5:$A$311,'Change in Proportion Calc'!L$5:L$311,,0,)</f>
        <v>30978</v>
      </c>
      <c r="D217" s="85">
        <f>_xlfn.XLOOKUP($A217,'Change in Proportion Calc'!$A$5:$A$311,'Change in Proportion Calc'!M$5:M$311,,0,)</f>
        <v>30978</v>
      </c>
      <c r="E217" s="85">
        <f>_xlfn.XLOOKUP($A217,'Change in Proportion Calc'!$A$5:$A$311,'Change in Proportion Calc'!N$5:N$311,,0,)</f>
        <v>30978</v>
      </c>
      <c r="F217" s="85">
        <f>_xlfn.XLOOKUP($A217,'Change in Proportion Calc'!$A$5:$A$311,'Change in Proportion Calc'!O$5:O$311,,0,)</f>
        <v>30978</v>
      </c>
      <c r="G217" s="85">
        <f>_xlfn.XLOOKUP($A217,'Change in Proportion Calc'!$A$5:$A$311,'Change in Proportion Calc'!P$5:P$311,,0,)</f>
        <v>28807</v>
      </c>
      <c r="H217" s="228"/>
      <c r="I217" s="85">
        <v>39790</v>
      </c>
      <c r="J217" s="85">
        <v>39790</v>
      </c>
      <c r="K217" s="85">
        <v>39790</v>
      </c>
      <c r="L217" s="85">
        <v>39790</v>
      </c>
      <c r="M217" s="85">
        <v>34615</v>
      </c>
      <c r="N217" s="85"/>
      <c r="O217" s="85">
        <v>24664</v>
      </c>
      <c r="P217" s="85">
        <v>24664</v>
      </c>
      <c r="Q217" s="85">
        <v>24664</v>
      </c>
      <c r="R217" s="85">
        <v>21952</v>
      </c>
      <c r="S217" s="228"/>
      <c r="T217" s="85">
        <v>0</v>
      </c>
      <c r="U217" s="85">
        <v>0</v>
      </c>
      <c r="V217" s="85">
        <v>0</v>
      </c>
      <c r="W217" s="228"/>
      <c r="X217" s="243">
        <v>0</v>
      </c>
      <c r="Y217" s="244">
        <v>0</v>
      </c>
      <c r="Z217" s="228"/>
      <c r="AA217" s="243">
        <v>0</v>
      </c>
      <c r="AB217" s="244"/>
      <c r="AD217" s="244">
        <f>VLOOKUP(A217,'Change in Proportion Calc'!$A$5:$H$311,8,FALSE)+SUMIF($C$5:$AB$5,2025,C217:AB217)</f>
        <v>95432</v>
      </c>
      <c r="AF217" s="243">
        <f t="shared" si="27"/>
        <v>377984</v>
      </c>
      <c r="AG217" s="243">
        <f t="shared" si="28"/>
        <v>0</v>
      </c>
      <c r="AI217" s="243">
        <f>VLOOKUP(A217,'OPEB Amounts_Report'!$A$10:$G$324,7,FALSE)</f>
        <v>377984</v>
      </c>
      <c r="AJ217" s="244">
        <f t="shared" si="35"/>
        <v>0</v>
      </c>
      <c r="AK217" s="244"/>
      <c r="AL217" s="354">
        <f t="shared" si="29"/>
        <v>2445</v>
      </c>
      <c r="AM217" s="243">
        <f t="shared" si="30"/>
        <v>95432</v>
      </c>
      <c r="AN217" s="243">
        <f t="shared" si="31"/>
        <v>95432</v>
      </c>
      <c r="AO217" s="243">
        <f t="shared" si="32"/>
        <v>92720</v>
      </c>
      <c r="AP217" s="243">
        <f t="shared" si="33"/>
        <v>65593</v>
      </c>
      <c r="AQ217" s="243">
        <f t="shared" si="34"/>
        <v>28807</v>
      </c>
    </row>
    <row r="218" spans="1:43">
      <c r="A218" s="61">
        <v>29123</v>
      </c>
      <c r="B218" s="62" t="s">
        <v>206</v>
      </c>
      <c r="C218" s="85">
        <f>_xlfn.XLOOKUP($A218,'Change in Proportion Calc'!$A$5:$A$311,'Change in Proportion Calc'!L$5:L$311,,0,)</f>
        <v>-390964</v>
      </c>
      <c r="D218" s="85">
        <f>_xlfn.XLOOKUP($A218,'Change in Proportion Calc'!$A$5:$A$311,'Change in Proportion Calc'!M$5:M$311,,0,)</f>
        <v>-390964</v>
      </c>
      <c r="E218" s="85">
        <f>_xlfn.XLOOKUP($A218,'Change in Proportion Calc'!$A$5:$A$311,'Change in Proportion Calc'!N$5:N$311,,0,)</f>
        <v>-390964</v>
      </c>
      <c r="F218" s="85">
        <f>_xlfn.XLOOKUP($A218,'Change in Proportion Calc'!$A$5:$A$311,'Change in Proportion Calc'!O$5:O$311,,0,)</f>
        <v>-390964</v>
      </c>
      <c r="G218" s="85">
        <f>_xlfn.XLOOKUP($A218,'Change in Proportion Calc'!$A$5:$A$311,'Change in Proportion Calc'!P$5:P$311,,0,)</f>
        <v>-363599</v>
      </c>
      <c r="H218" s="228"/>
      <c r="I218" s="85">
        <v>874619</v>
      </c>
      <c r="J218" s="85">
        <v>874619</v>
      </c>
      <c r="K218" s="85">
        <v>874619</v>
      </c>
      <c r="L218" s="85">
        <v>874619</v>
      </c>
      <c r="M218" s="85">
        <v>760920</v>
      </c>
      <c r="N218" s="85"/>
      <c r="O218" s="85">
        <v>-156019</v>
      </c>
      <c r="P218" s="85">
        <v>-156019</v>
      </c>
      <c r="Q218" s="85">
        <v>-156019</v>
      </c>
      <c r="R218" s="85">
        <v>-138856</v>
      </c>
      <c r="S218" s="228"/>
      <c r="T218" s="85">
        <v>-451759</v>
      </c>
      <c r="U218" s="85">
        <v>-451759</v>
      </c>
      <c r="V218" s="85">
        <v>-442725</v>
      </c>
      <c r="W218" s="228"/>
      <c r="X218" s="243">
        <v>3437597</v>
      </c>
      <c r="Y218" s="244">
        <v>3368844</v>
      </c>
      <c r="Z218" s="62"/>
      <c r="AA218" s="141">
        <v>-1487608</v>
      </c>
      <c r="AD218" s="244">
        <f>VLOOKUP(A218,'Change in Proportion Calc'!$A$5:$H$311,8,FALSE)+SUMIF($C$5:$AB$5,2025,C218:AB218)</f>
        <v>1825866</v>
      </c>
      <c r="AF218" s="243">
        <f t="shared" si="27"/>
        <v>6753621</v>
      </c>
      <c r="AG218" s="243">
        <f t="shared" si="28"/>
        <v>3272833</v>
      </c>
      <c r="AI218" s="243">
        <f>VLOOKUP(A218,'OPEB Amounts_Report'!$A$10:$G$324,7,FALSE)</f>
        <v>6753621</v>
      </c>
      <c r="AJ218" s="244">
        <f t="shared" si="35"/>
        <v>0</v>
      </c>
      <c r="AK218" s="244"/>
      <c r="AL218" s="354">
        <f t="shared" si="29"/>
        <v>29123</v>
      </c>
      <c r="AM218" s="243">
        <f t="shared" si="30"/>
        <v>3244721</v>
      </c>
      <c r="AN218" s="243">
        <f t="shared" si="31"/>
        <v>-115089</v>
      </c>
      <c r="AO218" s="243">
        <f t="shared" si="32"/>
        <v>344799</v>
      </c>
      <c r="AP218" s="243">
        <f t="shared" si="33"/>
        <v>369956</v>
      </c>
      <c r="AQ218" s="243">
        <f t="shared" si="34"/>
        <v>-363599</v>
      </c>
    </row>
    <row r="219" spans="1:43">
      <c r="A219" s="59">
        <v>2318</v>
      </c>
      <c r="B219" s="63" t="s">
        <v>207</v>
      </c>
      <c r="C219" s="85">
        <f>_xlfn.XLOOKUP($A219,'Change in Proportion Calc'!$A$5:$A$311,'Change in Proportion Calc'!L$5:L$311,,0,)</f>
        <v>-68934</v>
      </c>
      <c r="D219" s="85">
        <f>_xlfn.XLOOKUP($A219,'Change in Proportion Calc'!$A$5:$A$311,'Change in Proportion Calc'!M$5:M$311,,0,)</f>
        <v>-68934</v>
      </c>
      <c r="E219" s="85">
        <f>_xlfn.XLOOKUP($A219,'Change in Proportion Calc'!$A$5:$A$311,'Change in Proportion Calc'!N$5:N$311,,0,)</f>
        <v>-68934</v>
      </c>
      <c r="F219" s="85">
        <f>_xlfn.XLOOKUP($A219,'Change in Proportion Calc'!$A$5:$A$311,'Change in Proportion Calc'!O$5:O$311,,0,)</f>
        <v>-68934</v>
      </c>
      <c r="G219" s="85">
        <f>_xlfn.XLOOKUP($A219,'Change in Proportion Calc'!$A$5:$A$311,'Change in Proportion Calc'!P$5:P$311,,0,)</f>
        <v>-64106</v>
      </c>
      <c r="H219" s="228"/>
      <c r="I219" s="85">
        <v>57366</v>
      </c>
      <c r="J219" s="85">
        <v>57366</v>
      </c>
      <c r="K219" s="85">
        <v>57366</v>
      </c>
      <c r="L219" s="85">
        <v>57366</v>
      </c>
      <c r="M219" s="85">
        <v>49909</v>
      </c>
      <c r="N219" s="85"/>
      <c r="O219" s="85">
        <v>8386</v>
      </c>
      <c r="P219" s="85">
        <v>8386</v>
      </c>
      <c r="Q219" s="85">
        <v>8386</v>
      </c>
      <c r="R219" s="85">
        <v>7463</v>
      </c>
      <c r="S219" s="228"/>
      <c r="T219" s="85">
        <v>10610</v>
      </c>
      <c r="U219" s="85">
        <v>10610</v>
      </c>
      <c r="V219" s="85">
        <v>10396</v>
      </c>
      <c r="W219" s="228"/>
      <c r="X219" s="243">
        <v>20351</v>
      </c>
      <c r="Y219" s="244">
        <v>19944</v>
      </c>
      <c r="Z219" s="62"/>
      <c r="AA219" s="141">
        <v>-4907</v>
      </c>
      <c r="AD219" s="244">
        <f>VLOOKUP(A219,'Change in Proportion Calc'!$A$5:$H$311,8,FALSE)+SUMIF($C$5:$AB$5,2025,C219:AB219)</f>
        <v>22872</v>
      </c>
      <c r="AF219" s="243">
        <f t="shared" si="27"/>
        <v>287192</v>
      </c>
      <c r="AG219" s="243">
        <f t="shared" si="28"/>
        <v>339842</v>
      </c>
      <c r="AI219" s="243">
        <f>VLOOKUP(A219,'OPEB Amounts_Report'!$A$10:$G$324,7,FALSE)</f>
        <v>287192</v>
      </c>
      <c r="AJ219" s="244">
        <f t="shared" si="35"/>
        <v>0</v>
      </c>
      <c r="AK219" s="244"/>
      <c r="AL219" s="354">
        <f t="shared" si="29"/>
        <v>2318</v>
      </c>
      <c r="AM219" s="243">
        <f t="shared" si="30"/>
        <v>27372</v>
      </c>
      <c r="AN219" s="243">
        <f t="shared" si="31"/>
        <v>7214</v>
      </c>
      <c r="AO219" s="243">
        <f t="shared" si="32"/>
        <v>-4105</v>
      </c>
      <c r="AP219" s="243">
        <f t="shared" si="33"/>
        <v>-19025</v>
      </c>
      <c r="AQ219" s="243">
        <f t="shared" si="34"/>
        <v>-64106</v>
      </c>
    </row>
    <row r="220" spans="1:43">
      <c r="A220" s="61">
        <v>3250</v>
      </c>
      <c r="B220" s="62" t="s">
        <v>208</v>
      </c>
      <c r="C220" s="85">
        <f>_xlfn.XLOOKUP($A220,'Change in Proportion Calc'!$A$5:$A$311,'Change in Proportion Calc'!L$5:L$311,,0,)</f>
        <v>-25117</v>
      </c>
      <c r="D220" s="85">
        <f>_xlfn.XLOOKUP($A220,'Change in Proportion Calc'!$A$5:$A$311,'Change in Proportion Calc'!M$5:M$311,,0,)</f>
        <v>-25117</v>
      </c>
      <c r="E220" s="85">
        <f>_xlfn.XLOOKUP($A220,'Change in Proportion Calc'!$A$5:$A$311,'Change in Proportion Calc'!N$5:N$311,,0,)</f>
        <v>-25117</v>
      </c>
      <c r="F220" s="85">
        <f>_xlfn.XLOOKUP($A220,'Change in Proportion Calc'!$A$5:$A$311,'Change in Proportion Calc'!O$5:O$311,,0,)</f>
        <v>-25117</v>
      </c>
      <c r="G220" s="85">
        <f>_xlfn.XLOOKUP($A220,'Change in Proportion Calc'!$A$5:$A$311,'Change in Proportion Calc'!P$5:P$311,,0,)</f>
        <v>-23358</v>
      </c>
      <c r="H220" s="228"/>
      <c r="I220" s="85">
        <v>-17434</v>
      </c>
      <c r="J220" s="85">
        <v>-17434</v>
      </c>
      <c r="K220" s="85">
        <v>-17434</v>
      </c>
      <c r="L220" s="85">
        <v>-17434</v>
      </c>
      <c r="M220" s="85">
        <v>-15170</v>
      </c>
      <c r="N220" s="85"/>
      <c r="O220" s="85">
        <v>15678</v>
      </c>
      <c r="P220" s="85">
        <v>15678</v>
      </c>
      <c r="Q220" s="85">
        <v>15678</v>
      </c>
      <c r="R220" s="85">
        <v>13951</v>
      </c>
      <c r="S220" s="228"/>
      <c r="T220" s="85">
        <v>-18061</v>
      </c>
      <c r="U220" s="85">
        <v>-18061</v>
      </c>
      <c r="V220" s="85">
        <v>-17698</v>
      </c>
      <c r="W220" s="228"/>
      <c r="X220" s="243">
        <v>-28595</v>
      </c>
      <c r="Y220" s="244">
        <v>-28021</v>
      </c>
      <c r="Z220" s="62"/>
      <c r="AA220" s="141">
        <v>-18129</v>
      </c>
      <c r="AD220" s="244">
        <f>VLOOKUP(A220,'Change in Proportion Calc'!$A$5:$H$311,8,FALSE)+SUMIF($C$5:$AB$5,2025,C220:AB220)</f>
        <v>-91658</v>
      </c>
      <c r="AF220" s="243">
        <f t="shared" si="27"/>
        <v>45307</v>
      </c>
      <c r="AG220" s="243">
        <f t="shared" si="28"/>
        <v>255078</v>
      </c>
      <c r="AI220" s="243">
        <f>VLOOKUP(A220,'OPEB Amounts_Report'!$A$10:$G$324,7,FALSE)</f>
        <v>45307</v>
      </c>
      <c r="AJ220" s="244">
        <f t="shared" si="35"/>
        <v>0</v>
      </c>
      <c r="AK220" s="244"/>
      <c r="AL220" s="354">
        <f t="shared" si="29"/>
        <v>3250</v>
      </c>
      <c r="AM220" s="243">
        <f t="shared" si="30"/>
        <v>-72955</v>
      </c>
      <c r="AN220" s="243">
        <f t="shared" si="31"/>
        <v>-44571</v>
      </c>
      <c r="AO220" s="243">
        <f t="shared" si="32"/>
        <v>-28600</v>
      </c>
      <c r="AP220" s="243">
        <f t="shared" si="33"/>
        <v>-40287</v>
      </c>
      <c r="AQ220" s="243">
        <f t="shared" si="34"/>
        <v>-23358</v>
      </c>
    </row>
    <row r="221" spans="1:43">
      <c r="A221" s="59">
        <v>2313</v>
      </c>
      <c r="B221" s="63" t="s">
        <v>209</v>
      </c>
      <c r="C221" s="85">
        <f>_xlfn.XLOOKUP($A221,'Change in Proportion Calc'!$A$5:$A$311,'Change in Proportion Calc'!L$5:L$311,,0,)</f>
        <v>1865</v>
      </c>
      <c r="D221" s="85">
        <f>_xlfn.XLOOKUP($A221,'Change in Proportion Calc'!$A$5:$A$311,'Change in Proportion Calc'!M$5:M$311,,0,)</f>
        <v>1865</v>
      </c>
      <c r="E221" s="85">
        <f>_xlfn.XLOOKUP($A221,'Change in Proportion Calc'!$A$5:$A$311,'Change in Proportion Calc'!N$5:N$311,,0,)</f>
        <v>1865</v>
      </c>
      <c r="F221" s="85">
        <f>_xlfn.XLOOKUP($A221,'Change in Proportion Calc'!$A$5:$A$311,'Change in Proportion Calc'!O$5:O$311,,0,)</f>
        <v>1865</v>
      </c>
      <c r="G221" s="85">
        <f>_xlfn.XLOOKUP($A221,'Change in Proportion Calc'!$A$5:$A$311,'Change in Proportion Calc'!P$5:P$311,,0,)</f>
        <v>1733</v>
      </c>
      <c r="H221" s="228"/>
      <c r="I221" s="85">
        <v>578</v>
      </c>
      <c r="J221" s="85">
        <v>578</v>
      </c>
      <c r="K221" s="85">
        <v>578</v>
      </c>
      <c r="L221" s="85">
        <v>578</v>
      </c>
      <c r="M221" s="85">
        <v>501</v>
      </c>
      <c r="N221" s="85"/>
      <c r="O221" s="85">
        <v>12416</v>
      </c>
      <c r="P221" s="85">
        <v>12416</v>
      </c>
      <c r="Q221" s="85">
        <v>12416</v>
      </c>
      <c r="R221" s="85">
        <v>11049</v>
      </c>
      <c r="S221" s="228"/>
      <c r="T221" s="85">
        <v>4131</v>
      </c>
      <c r="U221" s="85">
        <v>4131</v>
      </c>
      <c r="V221" s="85">
        <v>4046</v>
      </c>
      <c r="W221" s="228"/>
      <c r="X221" s="243">
        <v>-1116</v>
      </c>
      <c r="Y221" s="244">
        <v>-1095</v>
      </c>
      <c r="Z221" s="62"/>
      <c r="AA221" s="141">
        <v>-3167</v>
      </c>
      <c r="AD221" s="244">
        <f>VLOOKUP(A221,'Change in Proportion Calc'!$A$5:$H$311,8,FALSE)+SUMIF($C$5:$AB$5,2025,C221:AB221)</f>
        <v>14707</v>
      </c>
      <c r="AF221" s="243">
        <f t="shared" si="27"/>
        <v>55486</v>
      </c>
      <c r="AG221" s="243">
        <f t="shared" si="28"/>
        <v>1095</v>
      </c>
      <c r="AI221" s="243">
        <f>VLOOKUP(A221,'OPEB Amounts_Report'!$A$10:$G$324,7,FALSE)</f>
        <v>55486</v>
      </c>
      <c r="AJ221" s="244">
        <f t="shared" si="35"/>
        <v>0</v>
      </c>
      <c r="AK221" s="244"/>
      <c r="AL221" s="354">
        <f t="shared" si="29"/>
        <v>2313</v>
      </c>
      <c r="AM221" s="243">
        <f t="shared" si="30"/>
        <v>17895</v>
      </c>
      <c r="AN221" s="243">
        <f t="shared" si="31"/>
        <v>18905</v>
      </c>
      <c r="AO221" s="243">
        <f t="shared" si="32"/>
        <v>13492</v>
      </c>
      <c r="AP221" s="243">
        <f t="shared" si="33"/>
        <v>2366</v>
      </c>
      <c r="AQ221" s="243">
        <f t="shared" si="34"/>
        <v>1733</v>
      </c>
    </row>
    <row r="222" spans="1:43">
      <c r="A222" s="61">
        <v>4011</v>
      </c>
      <c r="B222" s="62" t="s">
        <v>210</v>
      </c>
      <c r="C222" s="85">
        <f>_xlfn.XLOOKUP($A222,'Change in Proportion Calc'!$A$5:$A$311,'Change in Proportion Calc'!L$5:L$311,,0,)</f>
        <v>-195962</v>
      </c>
      <c r="D222" s="85">
        <f>_xlfn.XLOOKUP($A222,'Change in Proportion Calc'!$A$5:$A$311,'Change in Proportion Calc'!M$5:M$311,,0,)</f>
        <v>-195962</v>
      </c>
      <c r="E222" s="85">
        <f>_xlfn.XLOOKUP($A222,'Change in Proportion Calc'!$A$5:$A$311,'Change in Proportion Calc'!N$5:N$311,,0,)</f>
        <v>-195962</v>
      </c>
      <c r="F222" s="85">
        <f>_xlfn.XLOOKUP($A222,'Change in Proportion Calc'!$A$5:$A$311,'Change in Proportion Calc'!O$5:O$311,,0,)</f>
        <v>-195962</v>
      </c>
      <c r="G222" s="85">
        <f>_xlfn.XLOOKUP($A222,'Change in Proportion Calc'!$A$5:$A$311,'Change in Proportion Calc'!P$5:P$311,,0,)</f>
        <v>-182244</v>
      </c>
      <c r="H222" s="228"/>
      <c r="I222" s="85">
        <v>220444</v>
      </c>
      <c r="J222" s="85">
        <v>220444</v>
      </c>
      <c r="K222" s="85">
        <v>220444</v>
      </c>
      <c r="L222" s="85">
        <v>220444</v>
      </c>
      <c r="M222" s="85">
        <v>191784</v>
      </c>
      <c r="N222" s="85"/>
      <c r="O222" s="85">
        <v>275584</v>
      </c>
      <c r="P222" s="85">
        <v>275584</v>
      </c>
      <c r="Q222" s="85">
        <v>275584</v>
      </c>
      <c r="R222" s="85">
        <v>245272</v>
      </c>
      <c r="S222" s="228"/>
      <c r="T222" s="85">
        <v>237623</v>
      </c>
      <c r="U222" s="85">
        <v>237623</v>
      </c>
      <c r="V222" s="85">
        <v>232871</v>
      </c>
      <c r="W222" s="228"/>
      <c r="X222" s="243">
        <v>216562</v>
      </c>
      <c r="Y222" s="244">
        <v>212230</v>
      </c>
      <c r="Z222" s="62"/>
      <c r="AA222" s="141">
        <v>529336</v>
      </c>
      <c r="AD222" s="244">
        <f>VLOOKUP(A222,'Change in Proportion Calc'!$A$5:$H$311,8,FALSE)+SUMIF($C$5:$AB$5,2025,C222:AB222)</f>
        <v>1283587</v>
      </c>
      <c r="AF222" s="243">
        <f t="shared" si="27"/>
        <v>2332280</v>
      </c>
      <c r="AG222" s="243">
        <f t="shared" si="28"/>
        <v>966092</v>
      </c>
      <c r="AI222" s="243">
        <f>VLOOKUP(A222,'OPEB Amounts_Report'!$A$10:$G$324,7,FALSE)</f>
        <v>2332280</v>
      </c>
      <c r="AJ222" s="244">
        <f t="shared" si="35"/>
        <v>0</v>
      </c>
      <c r="AK222" s="244"/>
      <c r="AL222" s="354">
        <f t="shared" si="29"/>
        <v>4011</v>
      </c>
      <c r="AM222" s="243">
        <f t="shared" si="30"/>
        <v>749919</v>
      </c>
      <c r="AN222" s="243">
        <f t="shared" si="31"/>
        <v>532937</v>
      </c>
      <c r="AO222" s="243">
        <f t="shared" si="32"/>
        <v>269754</v>
      </c>
      <c r="AP222" s="243">
        <f t="shared" si="33"/>
        <v>-4178</v>
      </c>
      <c r="AQ222" s="243">
        <f t="shared" si="34"/>
        <v>-182244</v>
      </c>
    </row>
    <row r="223" spans="1:43">
      <c r="A223" s="59">
        <v>31092</v>
      </c>
      <c r="B223" s="63" t="s">
        <v>211</v>
      </c>
      <c r="C223" s="85">
        <f>_xlfn.XLOOKUP($A223,'Change in Proportion Calc'!$A$5:$A$311,'Change in Proportion Calc'!L$5:L$311,,0,)</f>
        <v>2803</v>
      </c>
      <c r="D223" s="85">
        <f>_xlfn.XLOOKUP($A223,'Change in Proportion Calc'!$A$5:$A$311,'Change in Proportion Calc'!M$5:M$311,,0,)</f>
        <v>2803</v>
      </c>
      <c r="E223" s="85">
        <f>_xlfn.XLOOKUP($A223,'Change in Proportion Calc'!$A$5:$A$311,'Change in Proportion Calc'!N$5:N$311,,0,)</f>
        <v>2803</v>
      </c>
      <c r="F223" s="85">
        <f>_xlfn.XLOOKUP($A223,'Change in Proportion Calc'!$A$5:$A$311,'Change in Proportion Calc'!O$5:O$311,,0,)</f>
        <v>2803</v>
      </c>
      <c r="G223" s="85">
        <f>_xlfn.XLOOKUP($A223,'Change in Proportion Calc'!$A$5:$A$311,'Change in Proportion Calc'!P$5:P$311,,0,)</f>
        <v>2609</v>
      </c>
      <c r="H223" s="228"/>
      <c r="I223" s="85">
        <v>-17620</v>
      </c>
      <c r="J223" s="85">
        <v>-17620</v>
      </c>
      <c r="K223" s="85">
        <v>-17620</v>
      </c>
      <c r="L223" s="85">
        <v>-17620</v>
      </c>
      <c r="M223" s="85">
        <v>-15327</v>
      </c>
      <c r="N223" s="85"/>
      <c r="O223" s="85">
        <v>15035</v>
      </c>
      <c r="P223" s="85">
        <v>15035</v>
      </c>
      <c r="Q223" s="85">
        <v>15035</v>
      </c>
      <c r="R223" s="85">
        <v>13383</v>
      </c>
      <c r="S223" s="228"/>
      <c r="T223" s="85">
        <v>7046</v>
      </c>
      <c r="U223" s="85">
        <v>7046</v>
      </c>
      <c r="V223" s="85">
        <v>6906</v>
      </c>
      <c r="W223" s="228"/>
      <c r="X223" s="243">
        <v>4294</v>
      </c>
      <c r="Y223" s="244">
        <v>4206</v>
      </c>
      <c r="Z223" s="62"/>
      <c r="AA223" s="141">
        <v>-3664</v>
      </c>
      <c r="AD223" s="244">
        <f>VLOOKUP(A223,'Change in Proportion Calc'!$A$5:$H$311,8,FALSE)+SUMIF($C$5:$AB$5,2025,C223:AB223)</f>
        <v>7894</v>
      </c>
      <c r="AF223" s="243">
        <f t="shared" si="27"/>
        <v>75432</v>
      </c>
      <c r="AG223" s="243">
        <f t="shared" si="28"/>
        <v>68187</v>
      </c>
      <c r="AI223" s="243">
        <f>VLOOKUP(A223,'OPEB Amounts_Report'!$A$10:$G$324,7,FALSE)</f>
        <v>75432</v>
      </c>
      <c r="AJ223" s="244">
        <f t="shared" si="35"/>
        <v>0</v>
      </c>
      <c r="AK223" s="244"/>
      <c r="AL223" s="354">
        <f t="shared" si="29"/>
        <v>31092</v>
      </c>
      <c r="AM223" s="243">
        <f t="shared" si="30"/>
        <v>11470</v>
      </c>
      <c r="AN223" s="243">
        <f t="shared" si="31"/>
        <v>7124</v>
      </c>
      <c r="AO223" s="243">
        <f t="shared" si="32"/>
        <v>-1434</v>
      </c>
      <c r="AP223" s="243">
        <f t="shared" si="33"/>
        <v>-12524</v>
      </c>
      <c r="AQ223" s="243">
        <f t="shared" si="34"/>
        <v>2609</v>
      </c>
    </row>
    <row r="224" spans="1:43">
      <c r="A224" s="118">
        <v>26081</v>
      </c>
      <c r="B224" s="119" t="s">
        <v>212</v>
      </c>
      <c r="C224" s="85">
        <f>_xlfn.XLOOKUP($A224,'Change in Proportion Calc'!$A$5:$A$311,'Change in Proportion Calc'!L$5:L$311,,0,)</f>
        <v>-16296</v>
      </c>
      <c r="D224" s="85">
        <f>_xlfn.XLOOKUP($A224,'Change in Proportion Calc'!$A$5:$A$311,'Change in Proportion Calc'!M$5:M$311,,0,)</f>
        <v>-16296</v>
      </c>
      <c r="E224" s="85">
        <f>_xlfn.XLOOKUP($A224,'Change in Proportion Calc'!$A$5:$A$311,'Change in Proportion Calc'!N$5:N$311,,0,)</f>
        <v>-16296</v>
      </c>
      <c r="F224" s="85">
        <f>_xlfn.XLOOKUP($A224,'Change in Proportion Calc'!$A$5:$A$311,'Change in Proportion Calc'!O$5:O$311,,0,)</f>
        <v>-16296</v>
      </c>
      <c r="G224" s="85">
        <f>_xlfn.XLOOKUP($A224,'Change in Proportion Calc'!$A$5:$A$311,'Change in Proportion Calc'!P$5:P$311,,0,)</f>
        <v>-15155</v>
      </c>
      <c r="H224" s="228"/>
      <c r="I224" s="85">
        <v>186180</v>
      </c>
      <c r="J224" s="85">
        <v>186180</v>
      </c>
      <c r="K224" s="85">
        <v>186180</v>
      </c>
      <c r="L224" s="85">
        <v>186180</v>
      </c>
      <c r="M224" s="85">
        <v>161978</v>
      </c>
      <c r="N224" s="85"/>
      <c r="O224" s="85">
        <v>-71567</v>
      </c>
      <c r="P224" s="85">
        <v>-71567</v>
      </c>
      <c r="Q224" s="85">
        <v>-71567</v>
      </c>
      <c r="R224" s="85">
        <v>-63694</v>
      </c>
      <c r="S224" s="228"/>
      <c r="T224" s="85">
        <v>-70866</v>
      </c>
      <c r="U224" s="85">
        <v>-70866</v>
      </c>
      <c r="V224" s="85">
        <v>-69447</v>
      </c>
      <c r="W224" s="228"/>
      <c r="X224" s="243">
        <v>46369</v>
      </c>
      <c r="Y224" s="244">
        <v>45443</v>
      </c>
      <c r="Z224" s="62"/>
      <c r="AA224" s="141">
        <v>-9438</v>
      </c>
      <c r="AD224" s="244">
        <f>VLOOKUP(A224,'Change in Proportion Calc'!$A$5:$H$311,8,FALSE)+SUMIF($C$5:$AB$5,2025,C224:AB224)</f>
        <v>64382</v>
      </c>
      <c r="AF224" s="243">
        <f t="shared" si="27"/>
        <v>765961</v>
      </c>
      <c r="AG224" s="243">
        <f t="shared" si="28"/>
        <v>427480</v>
      </c>
      <c r="AI224" s="243">
        <f>VLOOKUP(A224,'OPEB Amounts_Report'!$A$10:$G$324,7,FALSE)</f>
        <v>765961</v>
      </c>
      <c r="AJ224" s="244">
        <f t="shared" si="35"/>
        <v>0</v>
      </c>
      <c r="AK224" s="244"/>
      <c r="AL224" s="354">
        <f t="shared" si="29"/>
        <v>26081</v>
      </c>
      <c r="AM224" s="243">
        <f t="shared" si="30"/>
        <v>72894</v>
      </c>
      <c r="AN224" s="243">
        <f t="shared" si="31"/>
        <v>28870</v>
      </c>
      <c r="AO224" s="243">
        <f t="shared" si="32"/>
        <v>106190</v>
      </c>
      <c r="AP224" s="243">
        <f t="shared" si="33"/>
        <v>145682</v>
      </c>
      <c r="AQ224" s="243">
        <f t="shared" si="34"/>
        <v>-15155</v>
      </c>
    </row>
    <row r="225" spans="1:43">
      <c r="A225" s="59">
        <v>29305</v>
      </c>
      <c r="B225" s="63" t="s">
        <v>213</v>
      </c>
      <c r="C225" s="85">
        <f>_xlfn.XLOOKUP($A225,'Change in Proportion Calc'!$A$5:$A$311,'Change in Proportion Calc'!L$5:L$311,,0,)</f>
        <v>9384</v>
      </c>
      <c r="D225" s="85">
        <f>_xlfn.XLOOKUP($A225,'Change in Proportion Calc'!$A$5:$A$311,'Change in Proportion Calc'!M$5:M$311,,0,)</f>
        <v>9384</v>
      </c>
      <c r="E225" s="85">
        <f>_xlfn.XLOOKUP($A225,'Change in Proportion Calc'!$A$5:$A$311,'Change in Proportion Calc'!N$5:N$311,,0,)</f>
        <v>9384</v>
      </c>
      <c r="F225" s="85">
        <f>_xlfn.XLOOKUP($A225,'Change in Proportion Calc'!$A$5:$A$311,'Change in Proportion Calc'!O$5:O$311,,0,)</f>
        <v>9384</v>
      </c>
      <c r="G225" s="85">
        <f>_xlfn.XLOOKUP($A225,'Change in Proportion Calc'!$A$5:$A$311,'Change in Proportion Calc'!P$5:P$311,,0,)</f>
        <v>8730</v>
      </c>
      <c r="H225" s="228"/>
      <c r="I225" s="85">
        <v>-9472</v>
      </c>
      <c r="J225" s="85">
        <v>-9472</v>
      </c>
      <c r="K225" s="85">
        <v>-9472</v>
      </c>
      <c r="L225" s="85">
        <v>-9472</v>
      </c>
      <c r="M225" s="85">
        <v>-8243</v>
      </c>
      <c r="N225" s="85"/>
      <c r="O225" s="85">
        <v>-18758</v>
      </c>
      <c r="P225" s="85">
        <v>-18758</v>
      </c>
      <c r="Q225" s="85">
        <v>-18758</v>
      </c>
      <c r="R225" s="85">
        <v>-16696</v>
      </c>
      <c r="S225" s="228"/>
      <c r="T225" s="85">
        <v>-10529</v>
      </c>
      <c r="U225" s="85">
        <v>-10529</v>
      </c>
      <c r="V225" s="85">
        <v>-10316</v>
      </c>
      <c r="W225" s="228"/>
      <c r="X225" s="243">
        <v>3349</v>
      </c>
      <c r="Y225" s="244">
        <v>3281</v>
      </c>
      <c r="Z225" s="62"/>
      <c r="AA225" s="141">
        <v>11237</v>
      </c>
      <c r="AD225" s="244">
        <f>VLOOKUP(A225,'Change in Proportion Calc'!$A$5:$H$311,8,FALSE)+SUMIF($C$5:$AB$5,2025,C225:AB225)</f>
        <v>-14789</v>
      </c>
      <c r="AF225" s="243">
        <f t="shared" si="27"/>
        <v>49547</v>
      </c>
      <c r="AG225" s="243">
        <f t="shared" si="28"/>
        <v>111716</v>
      </c>
      <c r="AI225" s="243">
        <f>VLOOKUP(A225,'OPEB Amounts_Report'!$A$10:$G$324,7,FALSE)</f>
        <v>49547</v>
      </c>
      <c r="AJ225" s="244">
        <f t="shared" si="35"/>
        <v>0</v>
      </c>
      <c r="AK225" s="244"/>
      <c r="AL225" s="354">
        <f t="shared" si="29"/>
        <v>29305</v>
      </c>
      <c r="AM225" s="243">
        <f t="shared" si="30"/>
        <v>-26094</v>
      </c>
      <c r="AN225" s="243">
        <f t="shared" si="31"/>
        <v>-29162</v>
      </c>
      <c r="AO225" s="243">
        <f t="shared" si="32"/>
        <v>-16784</v>
      </c>
      <c r="AP225" s="243">
        <f t="shared" si="33"/>
        <v>1141</v>
      </c>
      <c r="AQ225" s="243">
        <f t="shared" si="34"/>
        <v>8730</v>
      </c>
    </row>
    <row r="226" spans="1:43">
      <c r="A226" s="61">
        <v>10032</v>
      </c>
      <c r="B226" s="62" t="s">
        <v>214</v>
      </c>
      <c r="C226" s="85">
        <f>_xlfn.XLOOKUP($A226,'Change in Proportion Calc'!$A$5:$A$311,'Change in Proportion Calc'!L$5:L$311,,0,)</f>
        <v>19808</v>
      </c>
      <c r="D226" s="85">
        <f>_xlfn.XLOOKUP($A226,'Change in Proportion Calc'!$A$5:$A$311,'Change in Proportion Calc'!M$5:M$311,,0,)</f>
        <v>19808</v>
      </c>
      <c r="E226" s="85">
        <f>_xlfn.XLOOKUP($A226,'Change in Proportion Calc'!$A$5:$A$311,'Change in Proportion Calc'!N$5:N$311,,0,)</f>
        <v>19808</v>
      </c>
      <c r="F226" s="85">
        <f>_xlfn.XLOOKUP($A226,'Change in Proportion Calc'!$A$5:$A$311,'Change in Proportion Calc'!O$5:O$311,,0,)</f>
        <v>19808</v>
      </c>
      <c r="G226" s="85">
        <f>_xlfn.XLOOKUP($A226,'Change in Proportion Calc'!$A$5:$A$311,'Change in Proportion Calc'!P$5:P$311,,0,)</f>
        <v>18422</v>
      </c>
      <c r="H226" s="228"/>
      <c r="I226" s="85">
        <v>9717</v>
      </c>
      <c r="J226" s="85">
        <v>9717</v>
      </c>
      <c r="K226" s="85">
        <v>9717</v>
      </c>
      <c r="L226" s="85">
        <v>9717</v>
      </c>
      <c r="M226" s="85">
        <v>8454</v>
      </c>
      <c r="N226" s="85"/>
      <c r="O226" s="85">
        <v>-9144</v>
      </c>
      <c r="P226" s="85">
        <v>-9144</v>
      </c>
      <c r="Q226" s="85">
        <v>-9144</v>
      </c>
      <c r="R226" s="85">
        <v>-8136</v>
      </c>
      <c r="S226" s="228"/>
      <c r="T226" s="85">
        <v>-4373</v>
      </c>
      <c r="U226" s="85">
        <v>-4373</v>
      </c>
      <c r="V226" s="85">
        <v>-4288</v>
      </c>
      <c r="W226" s="228"/>
      <c r="X226" s="243">
        <v>-15456</v>
      </c>
      <c r="Y226" s="244">
        <v>-15149</v>
      </c>
      <c r="Z226" s="62"/>
      <c r="AA226" s="141">
        <v>-9562</v>
      </c>
      <c r="AD226" s="244">
        <f>VLOOKUP(A226,'Change in Proportion Calc'!$A$5:$H$311,8,FALSE)+SUMIF($C$5:$AB$5,2025,C226:AB226)</f>
        <v>-9010</v>
      </c>
      <c r="AF226" s="243">
        <f t="shared" si="27"/>
        <v>135259</v>
      </c>
      <c r="AG226" s="243">
        <f t="shared" si="28"/>
        <v>50234</v>
      </c>
      <c r="AI226" s="243">
        <f>VLOOKUP(A226,'OPEB Amounts_Report'!$A$10:$G$324,7,FALSE)</f>
        <v>135259</v>
      </c>
      <c r="AJ226" s="244">
        <f t="shared" si="35"/>
        <v>0</v>
      </c>
      <c r="AK226" s="244"/>
      <c r="AL226" s="354">
        <f t="shared" si="29"/>
        <v>10032</v>
      </c>
      <c r="AM226" s="243">
        <f t="shared" si="30"/>
        <v>859</v>
      </c>
      <c r="AN226" s="243">
        <f t="shared" si="31"/>
        <v>16093</v>
      </c>
      <c r="AO226" s="243">
        <f t="shared" si="32"/>
        <v>21389</v>
      </c>
      <c r="AP226" s="243">
        <f t="shared" si="33"/>
        <v>28262</v>
      </c>
      <c r="AQ226" s="243">
        <f t="shared" si="34"/>
        <v>18422</v>
      </c>
    </row>
    <row r="227" spans="1:43">
      <c r="A227" s="59">
        <v>32107</v>
      </c>
      <c r="B227" s="63" t="s">
        <v>215</v>
      </c>
      <c r="C227" s="85">
        <f>_xlfn.XLOOKUP($A227,'Change in Proportion Calc'!$A$5:$A$311,'Change in Proportion Calc'!L$5:L$311,,0,)</f>
        <v>3059</v>
      </c>
      <c r="D227" s="85">
        <f>_xlfn.XLOOKUP($A227,'Change in Proportion Calc'!$A$5:$A$311,'Change in Proportion Calc'!M$5:M$311,,0,)</f>
        <v>3059</v>
      </c>
      <c r="E227" s="85">
        <f>_xlfn.XLOOKUP($A227,'Change in Proportion Calc'!$A$5:$A$311,'Change in Proportion Calc'!N$5:N$311,,0,)</f>
        <v>3059</v>
      </c>
      <c r="F227" s="85">
        <f>_xlfn.XLOOKUP($A227,'Change in Proportion Calc'!$A$5:$A$311,'Change in Proportion Calc'!O$5:O$311,,0,)</f>
        <v>3059</v>
      </c>
      <c r="G227" s="85">
        <f>_xlfn.XLOOKUP($A227,'Change in Proportion Calc'!$A$5:$A$311,'Change in Proportion Calc'!P$5:P$311,,0,)</f>
        <v>2843</v>
      </c>
      <c r="H227" s="228"/>
      <c r="I227" s="85">
        <v>44971</v>
      </c>
      <c r="J227" s="85">
        <v>44971</v>
      </c>
      <c r="K227" s="85">
        <v>44971</v>
      </c>
      <c r="L227" s="85">
        <v>44971</v>
      </c>
      <c r="M227" s="85">
        <v>39127</v>
      </c>
      <c r="N227" s="85"/>
      <c r="O227" s="85">
        <v>-19539</v>
      </c>
      <c r="P227" s="85">
        <v>-19539</v>
      </c>
      <c r="Q227" s="85">
        <v>-19539</v>
      </c>
      <c r="R227" s="85">
        <v>-17392</v>
      </c>
      <c r="S227" s="228"/>
      <c r="T227" s="85">
        <v>-11257</v>
      </c>
      <c r="U227" s="85">
        <v>-11257</v>
      </c>
      <c r="V227" s="85">
        <v>-11034</v>
      </c>
      <c r="W227" s="228"/>
      <c r="X227" s="243">
        <v>-50491</v>
      </c>
      <c r="Y227" s="244">
        <v>-49481</v>
      </c>
      <c r="Z227" s="62"/>
      <c r="AA227" s="141">
        <v>-47189</v>
      </c>
      <c r="AD227" s="244">
        <f>VLOOKUP(A227,'Change in Proportion Calc'!$A$5:$H$311,8,FALSE)+SUMIF($C$5:$AB$5,2025,C227:AB227)</f>
        <v>-80446</v>
      </c>
      <c r="AF227" s="243">
        <f t="shared" si="27"/>
        <v>189119</v>
      </c>
      <c r="AG227" s="243">
        <f t="shared" si="28"/>
        <v>128242</v>
      </c>
      <c r="AI227" s="243">
        <f>VLOOKUP(A227,'OPEB Amounts_Report'!$A$10:$G$324,7,FALSE)</f>
        <v>189119</v>
      </c>
      <c r="AJ227" s="244">
        <f t="shared" si="35"/>
        <v>0</v>
      </c>
      <c r="AK227" s="244"/>
      <c r="AL227" s="354">
        <f t="shared" si="29"/>
        <v>32107</v>
      </c>
      <c r="AM227" s="243">
        <f t="shared" si="30"/>
        <v>-32247</v>
      </c>
      <c r="AN227" s="243">
        <f t="shared" si="31"/>
        <v>17457</v>
      </c>
      <c r="AO227" s="243">
        <f t="shared" si="32"/>
        <v>30638</v>
      </c>
      <c r="AP227" s="243">
        <f t="shared" si="33"/>
        <v>42186</v>
      </c>
      <c r="AQ227" s="243">
        <f t="shared" si="34"/>
        <v>2843</v>
      </c>
    </row>
    <row r="228" spans="1:43">
      <c r="A228" s="61">
        <v>3260</v>
      </c>
      <c r="B228" s="62" t="s">
        <v>216</v>
      </c>
      <c r="C228" s="85">
        <f>_xlfn.XLOOKUP($A228,'Change in Proportion Calc'!$A$5:$A$311,'Change in Proportion Calc'!L$5:L$311,,0,)</f>
        <v>-58743</v>
      </c>
      <c r="D228" s="85">
        <f>_xlfn.XLOOKUP($A228,'Change in Proportion Calc'!$A$5:$A$311,'Change in Proportion Calc'!M$5:M$311,,0,)</f>
        <v>-58743</v>
      </c>
      <c r="E228" s="85">
        <f>_xlfn.XLOOKUP($A228,'Change in Proportion Calc'!$A$5:$A$311,'Change in Proportion Calc'!N$5:N$311,,0,)</f>
        <v>-58743</v>
      </c>
      <c r="F228" s="85">
        <f>_xlfn.XLOOKUP($A228,'Change in Proportion Calc'!$A$5:$A$311,'Change in Proportion Calc'!O$5:O$311,,0,)</f>
        <v>-58743</v>
      </c>
      <c r="G228" s="85">
        <f>_xlfn.XLOOKUP($A228,'Change in Proportion Calc'!$A$5:$A$311,'Change in Proportion Calc'!P$5:P$311,,0,)</f>
        <v>-54630</v>
      </c>
      <c r="H228" s="228"/>
      <c r="I228" s="85">
        <v>-182174</v>
      </c>
      <c r="J228" s="85">
        <v>-182174</v>
      </c>
      <c r="K228" s="85">
        <v>-182174</v>
      </c>
      <c r="L228" s="85">
        <v>-182174</v>
      </c>
      <c r="M228" s="85">
        <v>-158492</v>
      </c>
      <c r="N228" s="85"/>
      <c r="O228" s="85">
        <v>-320889</v>
      </c>
      <c r="P228" s="85">
        <v>-320889</v>
      </c>
      <c r="Q228" s="85">
        <v>-320889</v>
      </c>
      <c r="R228" s="85">
        <v>-285590</v>
      </c>
      <c r="S228" s="228"/>
      <c r="T228" s="85">
        <v>-185304</v>
      </c>
      <c r="U228" s="85">
        <v>-185304</v>
      </c>
      <c r="V228" s="85">
        <v>-181597</v>
      </c>
      <c r="W228" s="228"/>
      <c r="X228" s="243">
        <v>-292127</v>
      </c>
      <c r="Y228" s="244">
        <v>-286282</v>
      </c>
      <c r="Z228" s="62"/>
      <c r="AA228" s="141">
        <v>-567212</v>
      </c>
      <c r="AD228" s="244">
        <f>VLOOKUP(A228,'Change in Proportion Calc'!$A$5:$H$311,8,FALSE)+SUMIF($C$5:$AB$5,2025,C228:AB228)</f>
        <v>-1606449</v>
      </c>
      <c r="AF228" s="243">
        <f t="shared" si="27"/>
        <v>0</v>
      </c>
      <c r="AG228" s="243">
        <f t="shared" si="28"/>
        <v>2575167</v>
      </c>
      <c r="AI228" s="243">
        <f>VLOOKUP(A228,'OPEB Amounts_Report'!$A$10:$G$324,7,FALSE)</f>
        <v>0</v>
      </c>
      <c r="AJ228" s="244">
        <f t="shared" si="35"/>
        <v>0</v>
      </c>
      <c r="AK228" s="244"/>
      <c r="AL228" s="354">
        <f t="shared" si="29"/>
        <v>3260</v>
      </c>
      <c r="AM228" s="243">
        <f t="shared" si="30"/>
        <v>-1033392</v>
      </c>
      <c r="AN228" s="243">
        <f t="shared" si="31"/>
        <v>-743403</v>
      </c>
      <c r="AO228" s="243">
        <f t="shared" si="32"/>
        <v>-526507</v>
      </c>
      <c r="AP228" s="243">
        <f t="shared" si="33"/>
        <v>-217235</v>
      </c>
      <c r="AQ228" s="243">
        <f t="shared" si="34"/>
        <v>-54630</v>
      </c>
    </row>
    <row r="229" spans="1:43">
      <c r="A229" s="59">
        <v>4390</v>
      </c>
      <c r="B229" s="63" t="s">
        <v>217</v>
      </c>
      <c r="C229" s="85">
        <f>_xlfn.XLOOKUP($A229,'Change in Proportion Calc'!$A$5:$A$311,'Change in Proportion Calc'!L$5:L$311,,0,)</f>
        <v>6689</v>
      </c>
      <c r="D229" s="85">
        <f>_xlfn.XLOOKUP($A229,'Change in Proportion Calc'!$A$5:$A$311,'Change in Proportion Calc'!M$5:M$311,,0,)</f>
        <v>6689</v>
      </c>
      <c r="E229" s="85">
        <f>_xlfn.XLOOKUP($A229,'Change in Proportion Calc'!$A$5:$A$311,'Change in Proportion Calc'!N$5:N$311,,0,)</f>
        <v>6689</v>
      </c>
      <c r="F229" s="85">
        <f>_xlfn.XLOOKUP($A229,'Change in Proportion Calc'!$A$5:$A$311,'Change in Proportion Calc'!O$5:O$311,,0,)</f>
        <v>6689</v>
      </c>
      <c r="G229" s="85">
        <f>_xlfn.XLOOKUP($A229,'Change in Proportion Calc'!$A$5:$A$311,'Change in Proportion Calc'!P$5:P$311,,0,)</f>
        <v>6218</v>
      </c>
      <c r="H229" s="228"/>
      <c r="I229" s="85">
        <v>-9344</v>
      </c>
      <c r="J229" s="85">
        <v>-9344</v>
      </c>
      <c r="K229" s="85">
        <v>-9344</v>
      </c>
      <c r="L229" s="85">
        <v>-9344</v>
      </c>
      <c r="M229" s="85">
        <v>-8131</v>
      </c>
      <c r="N229" s="85"/>
      <c r="O229" s="85">
        <v>-2159</v>
      </c>
      <c r="P229" s="85">
        <v>-2159</v>
      </c>
      <c r="Q229" s="85">
        <v>-2159</v>
      </c>
      <c r="R229" s="85">
        <v>-1922</v>
      </c>
      <c r="S229" s="228"/>
      <c r="T229" s="85">
        <v>3888</v>
      </c>
      <c r="U229" s="85">
        <v>3888</v>
      </c>
      <c r="V229" s="85">
        <v>3808</v>
      </c>
      <c r="W229" s="228"/>
      <c r="X229" s="243">
        <v>1546</v>
      </c>
      <c r="Y229" s="244">
        <v>1513</v>
      </c>
      <c r="Z229" s="62"/>
      <c r="AA229" s="141">
        <v>-1240</v>
      </c>
      <c r="AD229" s="244">
        <f>VLOOKUP(A229,'Change in Proportion Calc'!$A$5:$H$311,8,FALSE)+SUMIF($C$5:$AB$5,2025,C229:AB229)</f>
        <v>-620</v>
      </c>
      <c r="AF229" s="243">
        <f t="shared" si="27"/>
        <v>42183</v>
      </c>
      <c r="AG229" s="243">
        <f t="shared" si="28"/>
        <v>42403</v>
      </c>
      <c r="AI229" s="243">
        <f>VLOOKUP(A229,'OPEB Amounts_Report'!$A$10:$G$324,7,FALSE)</f>
        <v>42183</v>
      </c>
      <c r="AJ229" s="244">
        <f t="shared" si="35"/>
        <v>0</v>
      </c>
      <c r="AK229" s="244"/>
      <c r="AL229" s="354">
        <f t="shared" si="29"/>
        <v>4390</v>
      </c>
      <c r="AM229" s="243">
        <f t="shared" si="30"/>
        <v>587</v>
      </c>
      <c r="AN229" s="243">
        <f t="shared" si="31"/>
        <v>-1006</v>
      </c>
      <c r="AO229" s="243">
        <f t="shared" si="32"/>
        <v>-4577</v>
      </c>
      <c r="AP229" s="243">
        <f t="shared" si="33"/>
        <v>-1442</v>
      </c>
      <c r="AQ229" s="243">
        <f t="shared" si="34"/>
        <v>6218</v>
      </c>
    </row>
    <row r="230" spans="1:43">
      <c r="A230" s="61">
        <v>3270</v>
      </c>
      <c r="B230" s="62" t="s">
        <v>218</v>
      </c>
      <c r="C230" s="85">
        <f>_xlfn.XLOOKUP($A230,'Change in Proportion Calc'!$A$5:$A$311,'Change in Proportion Calc'!L$5:L$311,,0,)</f>
        <v>-49474</v>
      </c>
      <c r="D230" s="85">
        <f>_xlfn.XLOOKUP($A230,'Change in Proportion Calc'!$A$5:$A$311,'Change in Proportion Calc'!M$5:M$311,,0,)</f>
        <v>-49474</v>
      </c>
      <c r="E230" s="85">
        <f>_xlfn.XLOOKUP($A230,'Change in Proportion Calc'!$A$5:$A$311,'Change in Proportion Calc'!N$5:N$311,,0,)</f>
        <v>-49474</v>
      </c>
      <c r="F230" s="85">
        <f>_xlfn.XLOOKUP($A230,'Change in Proportion Calc'!$A$5:$A$311,'Change in Proportion Calc'!O$5:O$311,,0,)</f>
        <v>-49474</v>
      </c>
      <c r="G230" s="85">
        <f>_xlfn.XLOOKUP($A230,'Change in Proportion Calc'!$A$5:$A$311,'Change in Proportion Calc'!P$5:P$311,,0,)</f>
        <v>-46013</v>
      </c>
      <c r="H230" s="228"/>
      <c r="I230" s="85">
        <v>41613</v>
      </c>
      <c r="J230" s="85">
        <v>41613</v>
      </c>
      <c r="K230" s="85">
        <v>41613</v>
      </c>
      <c r="L230" s="85">
        <v>41613</v>
      </c>
      <c r="M230" s="85">
        <v>36201</v>
      </c>
      <c r="N230" s="85"/>
      <c r="O230" s="85">
        <v>-32156</v>
      </c>
      <c r="P230" s="85">
        <v>-32156</v>
      </c>
      <c r="Q230" s="85">
        <v>-32156</v>
      </c>
      <c r="R230" s="85">
        <v>-28621</v>
      </c>
      <c r="S230" s="228"/>
      <c r="T230" s="85">
        <v>-31343</v>
      </c>
      <c r="U230" s="85">
        <v>-31343</v>
      </c>
      <c r="V230" s="85">
        <v>-30716</v>
      </c>
      <c r="W230" s="228"/>
      <c r="X230" s="243">
        <v>-29968</v>
      </c>
      <c r="Y230" s="244">
        <v>-29370</v>
      </c>
      <c r="Z230" s="62"/>
      <c r="AA230" s="141">
        <v>-5587</v>
      </c>
      <c r="AD230" s="244">
        <f>VLOOKUP(A230,'Change in Proportion Calc'!$A$5:$H$311,8,FALSE)+SUMIF($C$5:$AB$5,2025,C230:AB230)</f>
        <v>-106915</v>
      </c>
      <c r="AF230" s="243">
        <f t="shared" si="27"/>
        <v>161040</v>
      </c>
      <c r="AG230" s="243">
        <f t="shared" si="28"/>
        <v>428271</v>
      </c>
      <c r="AI230" s="243">
        <f>VLOOKUP(A230,'OPEB Amounts_Report'!$A$10:$G$324,7,FALSE)</f>
        <v>161040</v>
      </c>
      <c r="AJ230" s="244">
        <f t="shared" si="35"/>
        <v>0</v>
      </c>
      <c r="AK230" s="244"/>
      <c r="AL230" s="354">
        <f t="shared" si="29"/>
        <v>3270</v>
      </c>
      <c r="AM230" s="243">
        <f t="shared" si="30"/>
        <v>-100730</v>
      </c>
      <c r="AN230" s="243">
        <f t="shared" si="31"/>
        <v>-70733</v>
      </c>
      <c r="AO230" s="243">
        <f t="shared" si="32"/>
        <v>-36482</v>
      </c>
      <c r="AP230" s="243">
        <f t="shared" si="33"/>
        <v>-13273</v>
      </c>
      <c r="AQ230" s="243">
        <f t="shared" si="34"/>
        <v>-46013</v>
      </c>
    </row>
    <row r="231" spans="1:43">
      <c r="A231" s="59">
        <v>29303</v>
      </c>
      <c r="B231" s="63" t="s">
        <v>219</v>
      </c>
      <c r="C231" s="85">
        <f>_xlfn.XLOOKUP($A231,'Change in Proportion Calc'!$A$5:$A$311,'Change in Proportion Calc'!L$5:L$311,,0,)</f>
        <v>1193</v>
      </c>
      <c r="D231" s="85">
        <f>_xlfn.XLOOKUP($A231,'Change in Proportion Calc'!$A$5:$A$311,'Change in Proportion Calc'!M$5:M$311,,0,)</f>
        <v>1193</v>
      </c>
      <c r="E231" s="85">
        <f>_xlfn.XLOOKUP($A231,'Change in Proportion Calc'!$A$5:$A$311,'Change in Proportion Calc'!N$5:N$311,,0,)</f>
        <v>1193</v>
      </c>
      <c r="F231" s="85">
        <f>_xlfn.XLOOKUP($A231,'Change in Proportion Calc'!$A$5:$A$311,'Change in Proportion Calc'!O$5:O$311,,0,)</f>
        <v>1193</v>
      </c>
      <c r="G231" s="85">
        <f>_xlfn.XLOOKUP($A231,'Change in Proportion Calc'!$A$5:$A$311,'Change in Proportion Calc'!P$5:P$311,,0,)</f>
        <v>1109</v>
      </c>
      <c r="H231" s="228"/>
      <c r="I231" s="85">
        <v>15650</v>
      </c>
      <c r="J231" s="85">
        <v>15650</v>
      </c>
      <c r="K231" s="85">
        <v>15650</v>
      </c>
      <c r="L231" s="85">
        <v>15650</v>
      </c>
      <c r="M231" s="85">
        <v>13617</v>
      </c>
      <c r="N231" s="85"/>
      <c r="O231" s="85">
        <v>39776</v>
      </c>
      <c r="P231" s="85">
        <v>39776</v>
      </c>
      <c r="Q231" s="85">
        <v>39776</v>
      </c>
      <c r="R231" s="85">
        <v>35401</v>
      </c>
      <c r="S231" s="228"/>
      <c r="T231" s="85">
        <v>22191</v>
      </c>
      <c r="U231" s="85">
        <v>22191</v>
      </c>
      <c r="V231" s="85">
        <v>21748</v>
      </c>
      <c r="W231" s="228"/>
      <c r="X231" s="243">
        <v>59078</v>
      </c>
      <c r="Y231" s="244">
        <v>57896</v>
      </c>
      <c r="Z231" s="62"/>
      <c r="AA231" s="141">
        <v>16393</v>
      </c>
      <c r="AD231" s="244">
        <f>VLOOKUP(A231,'Change in Proportion Calc'!$A$5:$H$311,8,FALSE)+SUMIF($C$5:$AB$5,2025,C231:AB231)</f>
        <v>154281</v>
      </c>
      <c r="AF231" s="243">
        <f t="shared" si="27"/>
        <v>283236</v>
      </c>
      <c r="AG231" s="243">
        <f t="shared" si="28"/>
        <v>0</v>
      </c>
      <c r="AI231" s="243">
        <f>VLOOKUP(A231,'OPEB Amounts_Report'!$A$10:$G$324,7,FALSE)</f>
        <v>283236</v>
      </c>
      <c r="AJ231" s="244">
        <f t="shared" si="35"/>
        <v>0</v>
      </c>
      <c r="AK231" s="244"/>
      <c r="AL231" s="354">
        <f t="shared" si="29"/>
        <v>29303</v>
      </c>
      <c r="AM231" s="243">
        <f t="shared" si="30"/>
        <v>136706</v>
      </c>
      <c r="AN231" s="243">
        <f t="shared" si="31"/>
        <v>78367</v>
      </c>
      <c r="AO231" s="243">
        <f t="shared" si="32"/>
        <v>52244</v>
      </c>
      <c r="AP231" s="243">
        <f t="shared" si="33"/>
        <v>14810</v>
      </c>
      <c r="AQ231" s="243">
        <f t="shared" si="34"/>
        <v>1109</v>
      </c>
    </row>
    <row r="232" spans="1:43">
      <c r="A232" s="61">
        <v>3280</v>
      </c>
      <c r="B232" s="62" t="s">
        <v>220</v>
      </c>
      <c r="C232" s="85">
        <f>_xlfn.XLOOKUP($A232,'Change in Proportion Calc'!$A$5:$A$311,'Change in Proportion Calc'!L$5:L$311,,0,)</f>
        <v>40342</v>
      </c>
      <c r="D232" s="85">
        <f>_xlfn.XLOOKUP($A232,'Change in Proportion Calc'!$A$5:$A$311,'Change in Proportion Calc'!M$5:M$311,,0,)</f>
        <v>40342</v>
      </c>
      <c r="E232" s="85">
        <f>_xlfn.XLOOKUP($A232,'Change in Proportion Calc'!$A$5:$A$311,'Change in Proportion Calc'!N$5:N$311,,0,)</f>
        <v>40342</v>
      </c>
      <c r="F232" s="85">
        <f>_xlfn.XLOOKUP($A232,'Change in Proportion Calc'!$A$5:$A$311,'Change in Proportion Calc'!O$5:O$311,,0,)</f>
        <v>40342</v>
      </c>
      <c r="G232" s="85">
        <f>_xlfn.XLOOKUP($A232,'Change in Proportion Calc'!$A$5:$A$311,'Change in Proportion Calc'!P$5:P$311,,0,)</f>
        <v>37521</v>
      </c>
      <c r="H232" s="228"/>
      <c r="I232" s="85">
        <v>-145008</v>
      </c>
      <c r="J232" s="85">
        <v>-145008</v>
      </c>
      <c r="K232" s="85">
        <v>-145008</v>
      </c>
      <c r="L232" s="85">
        <v>-145008</v>
      </c>
      <c r="M232" s="85">
        <v>-126158</v>
      </c>
      <c r="N232" s="85"/>
      <c r="O232" s="85">
        <v>-75384</v>
      </c>
      <c r="P232" s="85">
        <v>-75384</v>
      </c>
      <c r="Q232" s="85">
        <v>-75384</v>
      </c>
      <c r="R232" s="85">
        <v>-67090</v>
      </c>
      <c r="S232" s="228"/>
      <c r="T232" s="85">
        <v>176800</v>
      </c>
      <c r="U232" s="85">
        <v>176800</v>
      </c>
      <c r="V232" s="85">
        <v>173264</v>
      </c>
      <c r="W232" s="228"/>
      <c r="X232" s="243">
        <v>-181527</v>
      </c>
      <c r="Y232" s="244">
        <v>-177898</v>
      </c>
      <c r="Z232" s="62"/>
      <c r="AA232" s="141">
        <v>-526729</v>
      </c>
      <c r="AD232" s="244">
        <f>VLOOKUP(A232,'Change in Proportion Calc'!$A$5:$H$311,8,FALSE)+SUMIF($C$5:$AB$5,2025,C232:AB232)</f>
        <v>-711506</v>
      </c>
      <c r="AF232" s="243">
        <f t="shared" si="27"/>
        <v>548953</v>
      </c>
      <c r="AG232" s="243">
        <f t="shared" si="28"/>
        <v>956938</v>
      </c>
      <c r="AI232" s="243">
        <f>VLOOKUP(A232,'OPEB Amounts_Report'!$A$10:$G$324,7,FALSE)</f>
        <v>548953</v>
      </c>
      <c r="AJ232" s="244">
        <f t="shared" si="35"/>
        <v>0</v>
      </c>
      <c r="AK232" s="244"/>
      <c r="AL232" s="354">
        <f t="shared" si="29"/>
        <v>3280</v>
      </c>
      <c r="AM232" s="243">
        <f t="shared" si="30"/>
        <v>-181148</v>
      </c>
      <c r="AN232" s="243">
        <f t="shared" si="31"/>
        <v>-6786</v>
      </c>
      <c r="AO232" s="243">
        <f t="shared" si="32"/>
        <v>-171756</v>
      </c>
      <c r="AP232" s="243">
        <f t="shared" si="33"/>
        <v>-85816</v>
      </c>
      <c r="AQ232" s="243">
        <f t="shared" si="34"/>
        <v>37521</v>
      </c>
    </row>
    <row r="233" spans="1:43">
      <c r="A233" s="59">
        <v>4260</v>
      </c>
      <c r="B233" s="63" t="s">
        <v>221</v>
      </c>
      <c r="C233" s="85">
        <f>_xlfn.XLOOKUP($A233,'Change in Proportion Calc'!$A$5:$A$311,'Change in Proportion Calc'!L$5:L$311,,0,)</f>
        <v>4859</v>
      </c>
      <c r="D233" s="85">
        <f>_xlfn.XLOOKUP($A233,'Change in Proportion Calc'!$A$5:$A$311,'Change in Proportion Calc'!M$5:M$311,,0,)</f>
        <v>4859</v>
      </c>
      <c r="E233" s="85">
        <f>_xlfn.XLOOKUP($A233,'Change in Proportion Calc'!$A$5:$A$311,'Change in Proportion Calc'!N$5:N$311,,0,)</f>
        <v>4859</v>
      </c>
      <c r="F233" s="85">
        <f>_xlfn.XLOOKUP($A233,'Change in Proportion Calc'!$A$5:$A$311,'Change in Proportion Calc'!O$5:O$311,,0,)</f>
        <v>4859</v>
      </c>
      <c r="G233" s="85">
        <f>_xlfn.XLOOKUP($A233,'Change in Proportion Calc'!$A$5:$A$311,'Change in Proportion Calc'!P$5:P$311,,0,)</f>
        <v>4520</v>
      </c>
      <c r="H233" s="228"/>
      <c r="I233" s="85">
        <v>-33761</v>
      </c>
      <c r="J233" s="85">
        <v>-33761</v>
      </c>
      <c r="K233" s="85">
        <v>-33761</v>
      </c>
      <c r="L233" s="85">
        <v>-33761</v>
      </c>
      <c r="M233" s="85">
        <v>-29373</v>
      </c>
      <c r="N233" s="85"/>
      <c r="O233" s="85">
        <v>31084</v>
      </c>
      <c r="P233" s="85">
        <v>31084</v>
      </c>
      <c r="Q233" s="85">
        <v>31084</v>
      </c>
      <c r="R233" s="85">
        <v>27667</v>
      </c>
      <c r="S233" s="228"/>
      <c r="T233" s="85">
        <v>-13930</v>
      </c>
      <c r="U233" s="85">
        <v>-13930</v>
      </c>
      <c r="V233" s="85">
        <v>-13653</v>
      </c>
      <c r="W233" s="228"/>
      <c r="X233" s="243">
        <v>-6011</v>
      </c>
      <c r="Y233" s="244">
        <v>-5890</v>
      </c>
      <c r="Z233" s="62"/>
      <c r="AA233" s="141">
        <v>7760</v>
      </c>
      <c r="AD233" s="244">
        <f>VLOOKUP(A233,'Change in Proportion Calc'!$A$5:$H$311,8,FALSE)+SUMIF($C$5:$AB$5,2025,C233:AB233)</f>
        <v>-9999</v>
      </c>
      <c r="AF233" s="243">
        <f t="shared" si="27"/>
        <v>113791</v>
      </c>
      <c r="AG233" s="243">
        <f t="shared" si="28"/>
        <v>164129</v>
      </c>
      <c r="AI233" s="243">
        <f>VLOOKUP(A233,'OPEB Amounts_Report'!$A$10:$G$324,7,FALSE)</f>
        <v>113791</v>
      </c>
      <c r="AJ233" s="244">
        <f t="shared" si="35"/>
        <v>0</v>
      </c>
      <c r="AK233" s="244"/>
      <c r="AL233" s="354">
        <f t="shared" si="29"/>
        <v>4260</v>
      </c>
      <c r="AM233" s="243">
        <f t="shared" si="30"/>
        <v>-17638</v>
      </c>
      <c r="AN233" s="243">
        <f t="shared" si="31"/>
        <v>-11471</v>
      </c>
      <c r="AO233" s="243">
        <f t="shared" si="32"/>
        <v>-1235</v>
      </c>
      <c r="AP233" s="243">
        <f t="shared" si="33"/>
        <v>-24514</v>
      </c>
      <c r="AQ233" s="243">
        <f t="shared" si="34"/>
        <v>4520</v>
      </c>
    </row>
    <row r="234" spans="1:43">
      <c r="A234" s="61">
        <v>1003</v>
      </c>
      <c r="B234" s="62" t="s">
        <v>222</v>
      </c>
      <c r="C234" s="85">
        <f>_xlfn.XLOOKUP($A234,'Change in Proportion Calc'!$A$5:$A$311,'Change in Proportion Calc'!L$5:L$311,,0,)</f>
        <v>52096</v>
      </c>
      <c r="D234" s="85">
        <f>_xlfn.XLOOKUP($A234,'Change in Proportion Calc'!$A$5:$A$311,'Change in Proportion Calc'!M$5:M$311,,0,)</f>
        <v>52096</v>
      </c>
      <c r="E234" s="85">
        <f>_xlfn.XLOOKUP($A234,'Change in Proportion Calc'!$A$5:$A$311,'Change in Proportion Calc'!N$5:N$311,,0,)</f>
        <v>52096</v>
      </c>
      <c r="F234" s="85">
        <f>_xlfn.XLOOKUP($A234,'Change in Proportion Calc'!$A$5:$A$311,'Change in Proportion Calc'!O$5:O$311,,0,)</f>
        <v>52096</v>
      </c>
      <c r="G234" s="85">
        <f>_xlfn.XLOOKUP($A234,'Change in Proportion Calc'!$A$5:$A$311,'Change in Proportion Calc'!P$5:P$311,,0,)</f>
        <v>48450</v>
      </c>
      <c r="H234" s="228"/>
      <c r="I234" s="85">
        <v>84715</v>
      </c>
      <c r="J234" s="85">
        <v>84715</v>
      </c>
      <c r="K234" s="85">
        <v>84715</v>
      </c>
      <c r="L234" s="85">
        <v>84715</v>
      </c>
      <c r="M234" s="85">
        <v>73704</v>
      </c>
      <c r="N234" s="85"/>
      <c r="O234" s="85">
        <v>-103353</v>
      </c>
      <c r="P234" s="85">
        <v>-103353</v>
      </c>
      <c r="Q234" s="85">
        <v>-103353</v>
      </c>
      <c r="R234" s="85">
        <v>-91982</v>
      </c>
      <c r="S234" s="228"/>
      <c r="T234" s="85">
        <v>-295854</v>
      </c>
      <c r="U234" s="85">
        <v>-295854</v>
      </c>
      <c r="V234" s="85">
        <v>-289939</v>
      </c>
      <c r="W234" s="228"/>
      <c r="X234" s="243">
        <v>-173713</v>
      </c>
      <c r="Y234" s="244">
        <v>-170240</v>
      </c>
      <c r="Z234" s="62"/>
      <c r="AA234" s="141">
        <v>-80969</v>
      </c>
      <c r="AD234" s="244">
        <f>VLOOKUP(A234,'Change in Proportion Calc'!$A$5:$H$311,8,FALSE)+SUMIF($C$5:$AB$5,2025,C234:AB234)</f>
        <v>-517078</v>
      </c>
      <c r="AF234" s="243">
        <f t="shared" si="27"/>
        <v>584683</v>
      </c>
      <c r="AG234" s="243">
        <f t="shared" si="28"/>
        <v>1054721</v>
      </c>
      <c r="AI234" s="243">
        <f>VLOOKUP(A234,'OPEB Amounts_Report'!$A$10:$G$324,7,FALSE)</f>
        <v>584683</v>
      </c>
      <c r="AJ234" s="244">
        <f t="shared" si="35"/>
        <v>0</v>
      </c>
      <c r="AK234" s="244"/>
      <c r="AL234" s="354">
        <f t="shared" si="29"/>
        <v>1003</v>
      </c>
      <c r="AM234" s="243">
        <f t="shared" si="30"/>
        <v>-432636</v>
      </c>
      <c r="AN234" s="243">
        <f t="shared" si="31"/>
        <v>-256481</v>
      </c>
      <c r="AO234" s="243">
        <f t="shared" si="32"/>
        <v>44829</v>
      </c>
      <c r="AP234" s="243">
        <f t="shared" si="33"/>
        <v>125800</v>
      </c>
      <c r="AQ234" s="243">
        <f t="shared" si="34"/>
        <v>48450</v>
      </c>
    </row>
    <row r="235" spans="1:43">
      <c r="A235" s="59">
        <v>3290</v>
      </c>
      <c r="B235" s="63" t="s">
        <v>223</v>
      </c>
      <c r="C235" s="85">
        <f>_xlfn.XLOOKUP($A235,'Change in Proportion Calc'!$A$5:$A$311,'Change in Proportion Calc'!L$5:L$311,,0,)</f>
        <v>491201</v>
      </c>
      <c r="D235" s="85">
        <f>_xlfn.XLOOKUP($A235,'Change in Proportion Calc'!$A$5:$A$311,'Change in Proportion Calc'!M$5:M$311,,0,)</f>
        <v>491201</v>
      </c>
      <c r="E235" s="85">
        <f>_xlfn.XLOOKUP($A235,'Change in Proportion Calc'!$A$5:$A$311,'Change in Proportion Calc'!N$5:N$311,,0,)</f>
        <v>491201</v>
      </c>
      <c r="F235" s="85">
        <f>_xlfn.XLOOKUP($A235,'Change in Proportion Calc'!$A$5:$A$311,'Change in Proportion Calc'!O$5:O$311,,0,)</f>
        <v>491201</v>
      </c>
      <c r="G235" s="85">
        <f>_xlfn.XLOOKUP($A235,'Change in Proportion Calc'!$A$5:$A$311,'Change in Proportion Calc'!P$5:P$311,,0,)</f>
        <v>456815</v>
      </c>
      <c r="H235" s="228"/>
      <c r="I235" s="85">
        <v>-387130</v>
      </c>
      <c r="J235" s="85">
        <v>-387130</v>
      </c>
      <c r="K235" s="85">
        <v>-387130</v>
      </c>
      <c r="L235" s="85">
        <v>-387130</v>
      </c>
      <c r="M235" s="85">
        <v>-336801</v>
      </c>
      <c r="N235" s="85"/>
      <c r="O235" s="85">
        <v>-393002</v>
      </c>
      <c r="P235" s="85">
        <v>-393002</v>
      </c>
      <c r="Q235" s="85">
        <v>-393002</v>
      </c>
      <c r="R235" s="85">
        <v>-349770</v>
      </c>
      <c r="S235" s="228"/>
      <c r="T235" s="85">
        <v>-260948</v>
      </c>
      <c r="U235" s="85">
        <v>-260948</v>
      </c>
      <c r="V235" s="85">
        <v>-255729</v>
      </c>
      <c r="W235" s="228"/>
      <c r="X235" s="243">
        <v>-691074</v>
      </c>
      <c r="Y235" s="244">
        <v>-677255</v>
      </c>
      <c r="Z235" s="62"/>
      <c r="AA235" s="141">
        <v>-11054</v>
      </c>
      <c r="AD235" s="244">
        <f>VLOOKUP(A235,'Change in Proportion Calc'!$A$5:$H$311,8,FALSE)+SUMIF($C$5:$AB$5,2025,C235:AB235)</f>
        <v>-1252007</v>
      </c>
      <c r="AF235" s="243">
        <f t="shared" si="27"/>
        <v>2421619</v>
      </c>
      <c r="AG235" s="243">
        <f t="shared" si="28"/>
        <v>3827897</v>
      </c>
      <c r="AI235" s="243">
        <f>VLOOKUP(A235,'OPEB Amounts_Report'!$A$10:$G$324,7,FALSE)</f>
        <v>2421619</v>
      </c>
      <c r="AJ235" s="244">
        <f t="shared" si="35"/>
        <v>0</v>
      </c>
      <c r="AK235" s="244"/>
      <c r="AL235" s="354">
        <f t="shared" si="29"/>
        <v>3290</v>
      </c>
      <c r="AM235" s="243">
        <f t="shared" si="30"/>
        <v>-1227134</v>
      </c>
      <c r="AN235" s="243">
        <f t="shared" si="31"/>
        <v>-544660</v>
      </c>
      <c r="AO235" s="243">
        <f t="shared" si="32"/>
        <v>-245699</v>
      </c>
      <c r="AP235" s="243">
        <f t="shared" si="33"/>
        <v>154400</v>
      </c>
      <c r="AQ235" s="243">
        <f t="shared" si="34"/>
        <v>456815</v>
      </c>
    </row>
    <row r="236" spans="1:43">
      <c r="A236" s="61">
        <v>1002</v>
      </c>
      <c r="B236" s="62" t="s">
        <v>224</v>
      </c>
      <c r="C236" s="85">
        <f>_xlfn.XLOOKUP($A236,'Change in Proportion Calc'!$A$5:$A$311,'Change in Proportion Calc'!L$5:L$311,,0,)</f>
        <v>-397167</v>
      </c>
      <c r="D236" s="85">
        <f>_xlfn.XLOOKUP($A236,'Change in Proportion Calc'!$A$5:$A$311,'Change in Proportion Calc'!M$5:M$311,,0,)</f>
        <v>-397167</v>
      </c>
      <c r="E236" s="85">
        <f>_xlfn.XLOOKUP($A236,'Change in Proportion Calc'!$A$5:$A$311,'Change in Proportion Calc'!N$5:N$311,,0,)</f>
        <v>-397167</v>
      </c>
      <c r="F236" s="85">
        <f>_xlfn.XLOOKUP($A236,'Change in Proportion Calc'!$A$5:$A$311,'Change in Proportion Calc'!O$5:O$311,,0,)</f>
        <v>-397167</v>
      </c>
      <c r="G236" s="85">
        <f>_xlfn.XLOOKUP($A236,'Change in Proportion Calc'!$A$5:$A$311,'Change in Proportion Calc'!P$5:P$311,,0,)</f>
        <v>-369363</v>
      </c>
      <c r="H236" s="228"/>
      <c r="I236" s="85">
        <v>-188147</v>
      </c>
      <c r="J236" s="85">
        <v>-188147</v>
      </c>
      <c r="K236" s="85">
        <v>-188147</v>
      </c>
      <c r="L236" s="85">
        <v>-188147</v>
      </c>
      <c r="M236" s="85">
        <v>-163690</v>
      </c>
      <c r="N236" s="85"/>
      <c r="O236" s="85">
        <v>-193253</v>
      </c>
      <c r="P236" s="85">
        <v>-193253</v>
      </c>
      <c r="Q236" s="85">
        <v>-193253</v>
      </c>
      <c r="R236" s="85">
        <v>-171995</v>
      </c>
      <c r="S236" s="228"/>
      <c r="T236" s="85">
        <v>-361213</v>
      </c>
      <c r="U236" s="85">
        <v>-361213</v>
      </c>
      <c r="V236" s="85">
        <v>-353989</v>
      </c>
      <c r="W236" s="228"/>
      <c r="X236" s="243">
        <v>506027</v>
      </c>
      <c r="Y236" s="244">
        <v>495904</v>
      </c>
      <c r="Z236" s="62"/>
      <c r="AA236" s="141">
        <v>131138</v>
      </c>
      <c r="AD236" s="244">
        <f>VLOOKUP(A236,'Change in Proportion Calc'!$A$5:$H$311,8,FALSE)+SUMIF($C$5:$AB$5,2025,C236:AB236)</f>
        <v>-502615</v>
      </c>
      <c r="AF236" s="243">
        <f t="shared" si="27"/>
        <v>495904</v>
      </c>
      <c r="AG236" s="243">
        <f t="shared" si="28"/>
        <v>3959865</v>
      </c>
      <c r="AI236" s="243">
        <f>VLOOKUP(A236,'OPEB Amounts_Report'!$A$10:$G$324,7,FALSE)</f>
        <v>495904</v>
      </c>
      <c r="AJ236" s="244">
        <f t="shared" si="35"/>
        <v>0</v>
      </c>
      <c r="AK236" s="244"/>
      <c r="AL236" s="354">
        <f t="shared" si="29"/>
        <v>1002</v>
      </c>
      <c r="AM236" s="243">
        <f t="shared" si="30"/>
        <v>-643876</v>
      </c>
      <c r="AN236" s="243">
        <f t="shared" si="31"/>
        <v>-1132556</v>
      </c>
      <c r="AO236" s="243">
        <f t="shared" si="32"/>
        <v>-757309</v>
      </c>
      <c r="AP236" s="243">
        <f t="shared" si="33"/>
        <v>-560857</v>
      </c>
      <c r="AQ236" s="243">
        <f t="shared" si="34"/>
        <v>-369363</v>
      </c>
    </row>
    <row r="237" spans="1:43" s="191" customFormat="1">
      <c r="A237" s="227">
        <v>4270</v>
      </c>
      <c r="B237" s="228" t="s">
        <v>424</v>
      </c>
      <c r="C237" s="85">
        <f>_xlfn.XLOOKUP($A237,'Change in Proportion Calc'!$A$5:$A$311,'Change in Proportion Calc'!L$5:L$311,,0,)</f>
        <v>2143</v>
      </c>
      <c r="D237" s="85">
        <f>_xlfn.XLOOKUP($A237,'Change in Proportion Calc'!$A$5:$A$311,'Change in Proportion Calc'!M$5:M$311,,0,)</f>
        <v>2143</v>
      </c>
      <c r="E237" s="85">
        <f>_xlfn.XLOOKUP($A237,'Change in Proportion Calc'!$A$5:$A$311,'Change in Proportion Calc'!N$5:N$311,,0,)</f>
        <v>2143</v>
      </c>
      <c r="F237" s="85">
        <f>_xlfn.XLOOKUP($A237,'Change in Proportion Calc'!$A$5:$A$311,'Change in Proportion Calc'!O$5:O$311,,0,)</f>
        <v>2143</v>
      </c>
      <c r="G237" s="85">
        <f>_xlfn.XLOOKUP($A237,'Change in Proportion Calc'!$A$5:$A$311,'Change in Proportion Calc'!P$5:P$311,,0,)</f>
        <v>1993</v>
      </c>
      <c r="H237" s="228"/>
      <c r="I237" s="85">
        <v>-24036</v>
      </c>
      <c r="J237" s="85">
        <v>-24036</v>
      </c>
      <c r="K237" s="85">
        <v>-24036</v>
      </c>
      <c r="L237" s="85">
        <v>-24036</v>
      </c>
      <c r="M237" s="85">
        <v>-20911</v>
      </c>
      <c r="N237" s="85"/>
      <c r="O237" s="85">
        <v>-4939</v>
      </c>
      <c r="P237" s="85">
        <v>-4939</v>
      </c>
      <c r="Q237" s="85">
        <v>-4939</v>
      </c>
      <c r="R237" s="85">
        <v>-4398</v>
      </c>
      <c r="S237" s="228"/>
      <c r="T237" s="85">
        <v>306464</v>
      </c>
      <c r="U237" s="85">
        <v>306464</v>
      </c>
      <c r="V237" s="85">
        <v>300335</v>
      </c>
      <c r="W237" s="228"/>
      <c r="X237" s="243">
        <v>0</v>
      </c>
      <c r="Y237" s="243">
        <v>0</v>
      </c>
      <c r="Z237" s="228"/>
      <c r="AA237" s="243">
        <v>0</v>
      </c>
      <c r="AD237" s="244">
        <f>VLOOKUP(A237,'Change in Proportion Calc'!$A$5:$H$311,8,FALSE)+SUMIF($C$5:$AB$5,2025,C237:AB237)</f>
        <v>279632</v>
      </c>
      <c r="AF237" s="243">
        <f t="shared" si="27"/>
        <v>617364</v>
      </c>
      <c r="AG237" s="243">
        <f t="shared" si="28"/>
        <v>107295</v>
      </c>
      <c r="AI237" s="243">
        <f>VLOOKUP(A237,'OPEB Amounts_Report'!$A$10:$G$324,7,FALSE)</f>
        <v>617364</v>
      </c>
      <c r="AJ237" s="244">
        <f t="shared" si="35"/>
        <v>0</v>
      </c>
      <c r="AK237" s="244"/>
      <c r="AL237" s="354">
        <f t="shared" si="29"/>
        <v>4270</v>
      </c>
      <c r="AM237" s="243">
        <f t="shared" si="30"/>
        <v>279632</v>
      </c>
      <c r="AN237" s="243">
        <f t="shared" si="31"/>
        <v>273503</v>
      </c>
      <c r="AO237" s="243">
        <f t="shared" si="32"/>
        <v>-26291</v>
      </c>
      <c r="AP237" s="243">
        <f t="shared" si="33"/>
        <v>-18768</v>
      </c>
      <c r="AQ237" s="243">
        <f t="shared" si="34"/>
        <v>1993</v>
      </c>
    </row>
    <row r="238" spans="1:43">
      <c r="A238" s="59">
        <v>24072</v>
      </c>
      <c r="B238" s="63" t="s">
        <v>225</v>
      </c>
      <c r="C238" s="85">
        <f>_xlfn.XLOOKUP($A238,'Change in Proportion Calc'!$A$5:$A$311,'Change in Proportion Calc'!L$5:L$311,,0,)</f>
        <v>-14911</v>
      </c>
      <c r="D238" s="85">
        <f>_xlfn.XLOOKUP($A238,'Change in Proportion Calc'!$A$5:$A$311,'Change in Proportion Calc'!M$5:M$311,,0,)</f>
        <v>-14911</v>
      </c>
      <c r="E238" s="85">
        <f>_xlfn.XLOOKUP($A238,'Change in Proportion Calc'!$A$5:$A$311,'Change in Proportion Calc'!N$5:N$311,,0,)</f>
        <v>-14911</v>
      </c>
      <c r="F238" s="85">
        <f>_xlfn.XLOOKUP($A238,'Change in Proportion Calc'!$A$5:$A$311,'Change in Proportion Calc'!O$5:O$311,,0,)</f>
        <v>-14911</v>
      </c>
      <c r="G238" s="85">
        <f>_xlfn.XLOOKUP($A238,'Change in Proportion Calc'!$A$5:$A$311,'Change in Proportion Calc'!P$5:P$311,,0,)</f>
        <v>-13867</v>
      </c>
      <c r="H238" s="228"/>
      <c r="I238" s="85">
        <v>-56436</v>
      </c>
      <c r="J238" s="85">
        <v>-56436</v>
      </c>
      <c r="K238" s="85">
        <v>-56436</v>
      </c>
      <c r="L238" s="85">
        <v>-56436</v>
      </c>
      <c r="M238" s="85">
        <v>-49101</v>
      </c>
      <c r="N238" s="85"/>
      <c r="O238" s="85">
        <v>66500</v>
      </c>
      <c r="P238" s="85">
        <v>66500</v>
      </c>
      <c r="Q238" s="85">
        <v>66500</v>
      </c>
      <c r="R238" s="85">
        <v>59185</v>
      </c>
      <c r="S238" s="228"/>
      <c r="T238" s="85">
        <v>105286</v>
      </c>
      <c r="U238" s="85">
        <v>105286</v>
      </c>
      <c r="V238" s="85">
        <v>103182</v>
      </c>
      <c r="W238" s="228"/>
      <c r="X238" s="243">
        <v>15199</v>
      </c>
      <c r="Y238" s="244">
        <v>14894</v>
      </c>
      <c r="Z238" s="62"/>
      <c r="AA238" s="141">
        <v>21175</v>
      </c>
      <c r="AD238" s="244">
        <f>VLOOKUP(A238,'Change in Proportion Calc'!$A$5:$H$311,8,FALSE)+SUMIF($C$5:$AB$5,2025,C238:AB238)</f>
        <v>136813</v>
      </c>
      <c r="AF238" s="243">
        <f t="shared" si="27"/>
        <v>415547</v>
      </c>
      <c r="AG238" s="243">
        <f t="shared" si="28"/>
        <v>291920</v>
      </c>
      <c r="AI238" s="243">
        <f>VLOOKUP(A238,'OPEB Amounts_Report'!$A$10:$G$324,7,FALSE)</f>
        <v>415547</v>
      </c>
      <c r="AJ238" s="244">
        <f t="shared" si="35"/>
        <v>0</v>
      </c>
      <c r="AK238" s="244"/>
      <c r="AL238" s="354">
        <f t="shared" si="29"/>
        <v>24072</v>
      </c>
      <c r="AM238" s="243">
        <f t="shared" si="30"/>
        <v>115333</v>
      </c>
      <c r="AN238" s="243">
        <f t="shared" si="31"/>
        <v>98335</v>
      </c>
      <c r="AO238" s="243">
        <f t="shared" si="32"/>
        <v>-12162</v>
      </c>
      <c r="AP238" s="243">
        <f t="shared" si="33"/>
        <v>-64012</v>
      </c>
      <c r="AQ238" s="243">
        <f t="shared" si="34"/>
        <v>-13867</v>
      </c>
    </row>
    <row r="239" spans="1:43">
      <c r="A239" s="61">
        <v>14366</v>
      </c>
      <c r="B239" s="62" t="s">
        <v>226</v>
      </c>
      <c r="C239" s="85">
        <f>_xlfn.XLOOKUP($A239,'Change in Proportion Calc'!$A$5:$A$311,'Change in Proportion Calc'!L$5:L$311,,0,)</f>
        <v>-32648</v>
      </c>
      <c r="D239" s="85">
        <f>_xlfn.XLOOKUP($A239,'Change in Proportion Calc'!$A$5:$A$311,'Change in Proportion Calc'!M$5:M$311,,0,)</f>
        <v>-32648</v>
      </c>
      <c r="E239" s="85">
        <f>_xlfn.XLOOKUP($A239,'Change in Proportion Calc'!$A$5:$A$311,'Change in Proportion Calc'!N$5:N$311,,0,)</f>
        <v>-32648</v>
      </c>
      <c r="F239" s="85">
        <f>_xlfn.XLOOKUP($A239,'Change in Proportion Calc'!$A$5:$A$311,'Change in Proportion Calc'!O$5:O$311,,0,)</f>
        <v>-32648</v>
      </c>
      <c r="G239" s="85">
        <f>_xlfn.XLOOKUP($A239,'Change in Proportion Calc'!$A$5:$A$311,'Change in Proportion Calc'!P$5:P$311,,0,)</f>
        <v>-30362</v>
      </c>
      <c r="H239" s="228"/>
      <c r="I239" s="85">
        <v>79945</v>
      </c>
      <c r="J239" s="85">
        <v>79945</v>
      </c>
      <c r="K239" s="85">
        <v>79945</v>
      </c>
      <c r="L239" s="85">
        <v>79945</v>
      </c>
      <c r="M239" s="85">
        <v>69553</v>
      </c>
      <c r="N239" s="85"/>
      <c r="O239" s="85">
        <v>102590</v>
      </c>
      <c r="P239" s="85">
        <v>102590</v>
      </c>
      <c r="Q239" s="85">
        <v>102590</v>
      </c>
      <c r="R239" s="85">
        <v>91306</v>
      </c>
      <c r="S239" s="228"/>
      <c r="T239" s="85">
        <v>729</v>
      </c>
      <c r="U239" s="85">
        <v>729</v>
      </c>
      <c r="V239" s="85">
        <v>714</v>
      </c>
      <c r="W239" s="228"/>
      <c r="X239" s="243">
        <v>20695</v>
      </c>
      <c r="Y239" s="244">
        <v>20279</v>
      </c>
      <c r="Z239" s="62"/>
      <c r="AA239" s="141">
        <v>124</v>
      </c>
      <c r="AD239" s="244">
        <f>VLOOKUP(A239,'Change in Proportion Calc'!$A$5:$H$311,8,FALSE)+SUMIF($C$5:$AB$5,2025,C239:AB239)</f>
        <v>171435</v>
      </c>
      <c r="AF239" s="243">
        <f t="shared" si="27"/>
        <v>627596</v>
      </c>
      <c r="AG239" s="243">
        <f t="shared" si="28"/>
        <v>160954</v>
      </c>
      <c r="AI239" s="243">
        <f>VLOOKUP(A239,'OPEB Amounts_Report'!$A$10:$G$324,7,FALSE)</f>
        <v>627596</v>
      </c>
      <c r="AJ239" s="244">
        <f t="shared" si="35"/>
        <v>0</v>
      </c>
      <c r="AK239" s="244"/>
      <c r="AL239" s="354">
        <f t="shared" si="29"/>
        <v>14366</v>
      </c>
      <c r="AM239" s="243">
        <f t="shared" si="30"/>
        <v>170895</v>
      </c>
      <c r="AN239" s="243">
        <f t="shared" si="31"/>
        <v>150601</v>
      </c>
      <c r="AO239" s="243">
        <f t="shared" si="32"/>
        <v>138603</v>
      </c>
      <c r="AP239" s="243">
        <f t="shared" si="33"/>
        <v>36905</v>
      </c>
      <c r="AQ239" s="243">
        <f t="shared" si="34"/>
        <v>-30362</v>
      </c>
    </row>
    <row r="240" spans="1:43">
      <c r="A240" s="59">
        <v>4317</v>
      </c>
      <c r="B240" s="63" t="s">
        <v>227</v>
      </c>
      <c r="C240" s="85">
        <f>_xlfn.XLOOKUP($A240,'Change in Proportion Calc'!$A$5:$A$311,'Change in Proportion Calc'!L$5:L$311,,0,)</f>
        <v>-3582</v>
      </c>
      <c r="D240" s="85">
        <f>_xlfn.XLOOKUP($A240,'Change in Proportion Calc'!$A$5:$A$311,'Change in Proportion Calc'!M$5:M$311,,0,)</f>
        <v>-3582</v>
      </c>
      <c r="E240" s="85">
        <f>_xlfn.XLOOKUP($A240,'Change in Proportion Calc'!$A$5:$A$311,'Change in Proportion Calc'!N$5:N$311,,0,)</f>
        <v>-3582</v>
      </c>
      <c r="F240" s="85">
        <f>_xlfn.XLOOKUP($A240,'Change in Proportion Calc'!$A$5:$A$311,'Change in Proportion Calc'!O$5:O$311,,0,)</f>
        <v>-3582</v>
      </c>
      <c r="G240" s="85">
        <f>_xlfn.XLOOKUP($A240,'Change in Proportion Calc'!$A$5:$A$311,'Change in Proportion Calc'!P$5:P$311,,0,)</f>
        <v>-3329</v>
      </c>
      <c r="H240" s="228"/>
      <c r="I240" s="85">
        <v>-8136</v>
      </c>
      <c r="J240" s="85">
        <v>-8136</v>
      </c>
      <c r="K240" s="85">
        <v>-8136</v>
      </c>
      <c r="L240" s="85">
        <v>-8136</v>
      </c>
      <c r="M240" s="85">
        <v>-7079</v>
      </c>
      <c r="N240" s="85"/>
      <c r="O240" s="85">
        <v>14205</v>
      </c>
      <c r="P240" s="85">
        <v>14205</v>
      </c>
      <c r="Q240" s="85">
        <v>14205</v>
      </c>
      <c r="R240" s="85">
        <v>12643</v>
      </c>
      <c r="S240" s="228"/>
      <c r="T240" s="85">
        <v>105205</v>
      </c>
      <c r="U240" s="85">
        <v>105205</v>
      </c>
      <c r="V240" s="85">
        <v>103103</v>
      </c>
      <c r="W240" s="228"/>
      <c r="X240" s="243">
        <v>1288</v>
      </c>
      <c r="Y240" s="244">
        <v>1262</v>
      </c>
      <c r="Z240" s="62"/>
      <c r="AA240" s="141">
        <v>0</v>
      </c>
      <c r="AD240" s="244">
        <f>VLOOKUP(A240,'Change in Proportion Calc'!$A$5:$H$311,8,FALSE)+SUMIF($C$5:$AB$5,2025,C240:AB240)</f>
        <v>108980</v>
      </c>
      <c r="AF240" s="243">
        <f t="shared" si="27"/>
        <v>250623</v>
      </c>
      <c r="AG240" s="243">
        <f t="shared" si="28"/>
        <v>49144</v>
      </c>
      <c r="AI240" s="243">
        <f>VLOOKUP(A240,'OPEB Amounts_Report'!$A$10:$G$324,7,FALSE)</f>
        <v>250623</v>
      </c>
      <c r="AJ240" s="244">
        <f t="shared" si="35"/>
        <v>0</v>
      </c>
      <c r="AK240" s="244"/>
      <c r="AL240" s="354">
        <f t="shared" si="29"/>
        <v>4317</v>
      </c>
      <c r="AM240" s="243">
        <f t="shared" si="30"/>
        <v>108954</v>
      </c>
      <c r="AN240" s="243">
        <f t="shared" si="31"/>
        <v>105590</v>
      </c>
      <c r="AO240" s="243">
        <f t="shared" si="32"/>
        <v>925</v>
      </c>
      <c r="AP240" s="243">
        <f t="shared" si="33"/>
        <v>-10661</v>
      </c>
      <c r="AQ240" s="243">
        <f t="shared" si="34"/>
        <v>-3329</v>
      </c>
    </row>
    <row r="241" spans="1:43">
      <c r="A241" s="61">
        <v>32120</v>
      </c>
      <c r="B241" s="62" t="s">
        <v>228</v>
      </c>
      <c r="C241" s="85">
        <f>_xlfn.XLOOKUP($A241,'Change in Proportion Calc'!$A$5:$A$311,'Change in Proportion Calc'!L$5:L$311,,0,)</f>
        <v>60408</v>
      </c>
      <c r="D241" s="85">
        <f>_xlfn.XLOOKUP($A241,'Change in Proportion Calc'!$A$5:$A$311,'Change in Proportion Calc'!M$5:M$311,,0,)</f>
        <v>60408</v>
      </c>
      <c r="E241" s="85">
        <f>_xlfn.XLOOKUP($A241,'Change in Proportion Calc'!$A$5:$A$311,'Change in Proportion Calc'!N$5:N$311,,0,)</f>
        <v>60408</v>
      </c>
      <c r="F241" s="85">
        <f>_xlfn.XLOOKUP($A241,'Change in Proportion Calc'!$A$5:$A$311,'Change in Proportion Calc'!O$5:O$311,,0,)</f>
        <v>60408</v>
      </c>
      <c r="G241" s="85">
        <f>_xlfn.XLOOKUP($A241,'Change in Proportion Calc'!$A$5:$A$311,'Change in Proportion Calc'!P$5:P$311,,0,)</f>
        <v>56182</v>
      </c>
      <c r="H241" s="228"/>
      <c r="I241" s="85">
        <v>16660</v>
      </c>
      <c r="J241" s="85">
        <v>16660</v>
      </c>
      <c r="K241" s="85">
        <v>16660</v>
      </c>
      <c r="L241" s="85">
        <v>16660</v>
      </c>
      <c r="M241" s="85">
        <v>14494</v>
      </c>
      <c r="N241" s="85"/>
      <c r="O241" s="85">
        <v>28003</v>
      </c>
      <c r="P241" s="85">
        <v>28003</v>
      </c>
      <c r="Q241" s="85">
        <v>28003</v>
      </c>
      <c r="R241" s="85">
        <v>24925</v>
      </c>
      <c r="S241" s="228"/>
      <c r="T241" s="85">
        <v>21624</v>
      </c>
      <c r="U241" s="85">
        <v>21624</v>
      </c>
      <c r="V241" s="85">
        <v>21193</v>
      </c>
      <c r="W241" s="228"/>
      <c r="X241" s="243">
        <v>45940</v>
      </c>
      <c r="Y241" s="244">
        <v>45021</v>
      </c>
      <c r="Z241" s="62"/>
      <c r="AA241" s="141">
        <v>36757</v>
      </c>
      <c r="AD241" s="244">
        <f>VLOOKUP(A241,'Change in Proportion Calc'!$A$5:$H$311,8,FALSE)+SUMIF($C$5:$AB$5,2025,C241:AB241)</f>
        <v>209392</v>
      </c>
      <c r="AF241" s="243">
        <f t="shared" si="27"/>
        <v>531057</v>
      </c>
      <c r="AG241" s="243">
        <f t="shared" si="28"/>
        <v>0</v>
      </c>
      <c r="AI241" s="243">
        <f>VLOOKUP(A241,'OPEB Amounts_Report'!$A$10:$G$324,7,FALSE)</f>
        <v>531057</v>
      </c>
      <c r="AJ241" s="244">
        <f t="shared" si="35"/>
        <v>0</v>
      </c>
      <c r="AK241" s="244"/>
      <c r="AL241" s="354">
        <f t="shared" si="29"/>
        <v>32120</v>
      </c>
      <c r="AM241" s="243">
        <f t="shared" si="30"/>
        <v>171716</v>
      </c>
      <c r="AN241" s="243">
        <f t="shared" si="31"/>
        <v>126264</v>
      </c>
      <c r="AO241" s="243">
        <f t="shared" si="32"/>
        <v>101993</v>
      </c>
      <c r="AP241" s="243">
        <f t="shared" si="33"/>
        <v>74902</v>
      </c>
      <c r="AQ241" s="243">
        <f t="shared" si="34"/>
        <v>56182</v>
      </c>
    </row>
    <row r="242" spans="1:43">
      <c r="A242" s="59">
        <v>3300</v>
      </c>
      <c r="B242" s="63" t="s">
        <v>229</v>
      </c>
      <c r="C242" s="85">
        <f>_xlfn.XLOOKUP($A242,'Change in Proportion Calc'!$A$5:$A$311,'Change in Proportion Calc'!L$5:L$311,,0,)</f>
        <v>14999</v>
      </c>
      <c r="D242" s="85">
        <f>_xlfn.XLOOKUP($A242,'Change in Proportion Calc'!$A$5:$A$311,'Change in Proportion Calc'!M$5:M$311,,0,)</f>
        <v>14999</v>
      </c>
      <c r="E242" s="85">
        <f>_xlfn.XLOOKUP($A242,'Change in Proportion Calc'!$A$5:$A$311,'Change in Proportion Calc'!N$5:N$311,,0,)</f>
        <v>14999</v>
      </c>
      <c r="F242" s="85">
        <f>_xlfn.XLOOKUP($A242,'Change in Proportion Calc'!$A$5:$A$311,'Change in Proportion Calc'!O$5:O$311,,0,)</f>
        <v>14999</v>
      </c>
      <c r="G242" s="85">
        <f>_xlfn.XLOOKUP($A242,'Change in Proportion Calc'!$A$5:$A$311,'Change in Proportion Calc'!P$5:P$311,,0,)</f>
        <v>13948</v>
      </c>
      <c r="H242" s="228"/>
      <c r="I242" s="85">
        <v>-23863</v>
      </c>
      <c r="J242" s="85">
        <v>-23863</v>
      </c>
      <c r="K242" s="85">
        <v>-23863</v>
      </c>
      <c r="L242" s="85">
        <v>-23863</v>
      </c>
      <c r="M242" s="85">
        <v>-20760</v>
      </c>
      <c r="N242" s="85"/>
      <c r="O242" s="85">
        <v>14481</v>
      </c>
      <c r="P242" s="85">
        <v>14481</v>
      </c>
      <c r="Q242" s="85">
        <v>14481</v>
      </c>
      <c r="R242" s="85">
        <v>12886</v>
      </c>
      <c r="S242" s="228"/>
      <c r="T242" s="85">
        <v>-32882</v>
      </c>
      <c r="U242" s="85">
        <v>-32882</v>
      </c>
      <c r="V242" s="85">
        <v>-32223</v>
      </c>
      <c r="W242" s="228"/>
      <c r="X242" s="243">
        <v>-21811</v>
      </c>
      <c r="Y242" s="244">
        <v>-21373</v>
      </c>
      <c r="Z242" s="62"/>
      <c r="AA242" s="141">
        <v>11613</v>
      </c>
      <c r="AD242" s="244">
        <f>VLOOKUP(A242,'Change in Proportion Calc'!$A$5:$H$311,8,FALSE)+SUMIF($C$5:$AB$5,2025,C242:AB242)</f>
        <v>-37463</v>
      </c>
      <c r="AF242" s="243">
        <f t="shared" si="27"/>
        <v>115792</v>
      </c>
      <c r="AG242" s="243">
        <f t="shared" si="28"/>
        <v>178827</v>
      </c>
      <c r="AI242" s="243">
        <f>VLOOKUP(A242,'OPEB Amounts_Report'!$A$10:$G$324,7,FALSE)</f>
        <v>115792</v>
      </c>
      <c r="AJ242" s="244">
        <f t="shared" si="35"/>
        <v>0</v>
      </c>
      <c r="AK242" s="244"/>
      <c r="AL242" s="354">
        <f t="shared" si="29"/>
        <v>3300</v>
      </c>
      <c r="AM242" s="243">
        <f t="shared" si="30"/>
        <v>-48638</v>
      </c>
      <c r="AN242" s="243">
        <f t="shared" si="31"/>
        <v>-26606</v>
      </c>
      <c r="AO242" s="243">
        <f t="shared" si="32"/>
        <v>4022</v>
      </c>
      <c r="AP242" s="243">
        <f t="shared" si="33"/>
        <v>-5761</v>
      </c>
      <c r="AQ242" s="243">
        <f t="shared" si="34"/>
        <v>13948</v>
      </c>
    </row>
    <row r="243" spans="1:43">
      <c r="A243" s="61">
        <v>8026</v>
      </c>
      <c r="B243" s="62" t="s">
        <v>230</v>
      </c>
      <c r="C243" s="85">
        <f>_xlfn.XLOOKUP($A243,'Change in Proportion Calc'!$A$5:$A$311,'Change in Proportion Calc'!L$5:L$311,,0,)</f>
        <v>-40189</v>
      </c>
      <c r="D243" s="85">
        <f>_xlfn.XLOOKUP($A243,'Change in Proportion Calc'!$A$5:$A$311,'Change in Proportion Calc'!M$5:M$311,,0,)</f>
        <v>-40189</v>
      </c>
      <c r="E243" s="85">
        <f>_xlfn.XLOOKUP($A243,'Change in Proportion Calc'!$A$5:$A$311,'Change in Proportion Calc'!N$5:N$311,,0,)</f>
        <v>-40189</v>
      </c>
      <c r="F243" s="85">
        <f>_xlfn.XLOOKUP($A243,'Change in Proportion Calc'!$A$5:$A$311,'Change in Proportion Calc'!O$5:O$311,,0,)</f>
        <v>-40189</v>
      </c>
      <c r="G243" s="85">
        <f>_xlfn.XLOOKUP($A243,'Change in Proportion Calc'!$A$5:$A$311,'Change in Proportion Calc'!P$5:P$311,,0,)</f>
        <v>-37377</v>
      </c>
      <c r="H243" s="228"/>
      <c r="I243" s="85">
        <v>-34106</v>
      </c>
      <c r="J243" s="85">
        <v>-34106</v>
      </c>
      <c r="K243" s="85">
        <v>-34106</v>
      </c>
      <c r="L243" s="85">
        <v>-34106</v>
      </c>
      <c r="M243" s="85">
        <v>-29671</v>
      </c>
      <c r="N243" s="85"/>
      <c r="O243" s="85">
        <v>9056</v>
      </c>
      <c r="P243" s="85">
        <v>9056</v>
      </c>
      <c r="Q243" s="85">
        <v>9056</v>
      </c>
      <c r="R243" s="85">
        <v>8058</v>
      </c>
      <c r="S243" s="228"/>
      <c r="T243" s="85">
        <v>-123590</v>
      </c>
      <c r="U243" s="85">
        <v>-123590</v>
      </c>
      <c r="V243" s="85">
        <v>-121118</v>
      </c>
      <c r="W243" s="228"/>
      <c r="X243" s="243">
        <v>-123050</v>
      </c>
      <c r="Y243" s="244">
        <v>-120591</v>
      </c>
      <c r="Z243" s="62"/>
      <c r="AA243" s="141">
        <v>-11551</v>
      </c>
      <c r="AD243" s="244">
        <f>VLOOKUP(A243,'Change in Proportion Calc'!$A$5:$H$311,8,FALSE)+SUMIF($C$5:$AB$5,2025,C243:AB243)</f>
        <v>-323430</v>
      </c>
      <c r="AF243" s="243">
        <f t="shared" si="27"/>
        <v>26170</v>
      </c>
      <c r="AG243" s="243">
        <f t="shared" si="28"/>
        <v>695421</v>
      </c>
      <c r="AI243" s="243">
        <f>VLOOKUP(A243,'OPEB Amounts_Report'!$A$10:$G$324,7,FALSE)</f>
        <v>26170</v>
      </c>
      <c r="AJ243" s="244">
        <f t="shared" si="35"/>
        <v>0</v>
      </c>
      <c r="AK243" s="244"/>
      <c r="AL243" s="354">
        <f t="shared" si="29"/>
        <v>8026</v>
      </c>
      <c r="AM243" s="243">
        <f t="shared" si="30"/>
        <v>-309420</v>
      </c>
      <c r="AN243" s="243">
        <f t="shared" si="31"/>
        <v>-186357</v>
      </c>
      <c r="AO243" s="243">
        <f t="shared" si="32"/>
        <v>-66237</v>
      </c>
      <c r="AP243" s="243">
        <f t="shared" si="33"/>
        <v>-69860</v>
      </c>
      <c r="AQ243" s="243">
        <f t="shared" si="34"/>
        <v>-37377</v>
      </c>
    </row>
    <row r="244" spans="1:43">
      <c r="A244" s="59">
        <v>32119</v>
      </c>
      <c r="B244" s="63" t="s">
        <v>231</v>
      </c>
      <c r="C244" s="85">
        <f>_xlfn.XLOOKUP($A244,'Change in Proportion Calc'!$A$5:$A$311,'Change in Proportion Calc'!L$5:L$311,,0,)</f>
        <v>-17780</v>
      </c>
      <c r="D244" s="85">
        <f>_xlfn.XLOOKUP($A244,'Change in Proportion Calc'!$A$5:$A$311,'Change in Proportion Calc'!M$5:M$311,,0,)</f>
        <v>-17780</v>
      </c>
      <c r="E244" s="85">
        <f>_xlfn.XLOOKUP($A244,'Change in Proportion Calc'!$A$5:$A$311,'Change in Proportion Calc'!N$5:N$311,,0,)</f>
        <v>-17780</v>
      </c>
      <c r="F244" s="85">
        <f>_xlfn.XLOOKUP($A244,'Change in Proportion Calc'!$A$5:$A$311,'Change in Proportion Calc'!O$5:O$311,,0,)</f>
        <v>-17780</v>
      </c>
      <c r="G244" s="85">
        <f>_xlfn.XLOOKUP($A244,'Change in Proportion Calc'!$A$5:$A$311,'Change in Proportion Calc'!P$5:P$311,,0,)</f>
        <v>-16536</v>
      </c>
      <c r="H244" s="228"/>
      <c r="I244" s="85">
        <v>4865</v>
      </c>
      <c r="J244" s="85">
        <v>4865</v>
      </c>
      <c r="K244" s="85">
        <v>4865</v>
      </c>
      <c r="L244" s="85">
        <v>4865</v>
      </c>
      <c r="M244" s="85">
        <v>4233</v>
      </c>
      <c r="N244" s="85"/>
      <c r="O244" s="85">
        <v>6854</v>
      </c>
      <c r="P244" s="85">
        <v>6854</v>
      </c>
      <c r="Q244" s="85">
        <v>6854</v>
      </c>
      <c r="R244" s="85">
        <v>6099</v>
      </c>
      <c r="S244" s="228"/>
      <c r="T244" s="85">
        <v>9233</v>
      </c>
      <c r="U244" s="85">
        <v>9233</v>
      </c>
      <c r="V244" s="85">
        <v>9047</v>
      </c>
      <c r="W244" s="228"/>
      <c r="X244" s="243">
        <v>-18719</v>
      </c>
      <c r="Y244" s="244">
        <v>-18347</v>
      </c>
      <c r="Z244" s="62"/>
      <c r="AA244" s="141">
        <v>26079</v>
      </c>
      <c r="AD244" s="244">
        <f>VLOOKUP(A244,'Change in Proportion Calc'!$A$5:$H$311,8,FALSE)+SUMIF($C$5:$AB$5,2025,C244:AB244)</f>
        <v>10532</v>
      </c>
      <c r="AF244" s="243">
        <f t="shared" si="27"/>
        <v>56915</v>
      </c>
      <c r="AG244" s="243">
        <f t="shared" si="28"/>
        <v>106003</v>
      </c>
      <c r="AI244" s="243">
        <f>VLOOKUP(A244,'OPEB Amounts_Report'!$A$10:$G$324,7,FALSE)</f>
        <v>56915</v>
      </c>
      <c r="AJ244" s="244">
        <f t="shared" si="35"/>
        <v>0</v>
      </c>
      <c r="AK244" s="244"/>
      <c r="AL244" s="354">
        <f t="shared" si="29"/>
        <v>32119</v>
      </c>
      <c r="AM244" s="243">
        <f t="shared" si="30"/>
        <v>-15175</v>
      </c>
      <c r="AN244" s="243">
        <f t="shared" si="31"/>
        <v>2986</v>
      </c>
      <c r="AO244" s="243">
        <f t="shared" si="32"/>
        <v>-6816</v>
      </c>
      <c r="AP244" s="243">
        <f t="shared" si="33"/>
        <v>-13547</v>
      </c>
      <c r="AQ244" s="243">
        <f t="shared" si="34"/>
        <v>-16536</v>
      </c>
    </row>
    <row r="245" spans="1:43">
      <c r="A245" s="61">
        <v>25076</v>
      </c>
      <c r="B245" s="62" t="s">
        <v>232</v>
      </c>
      <c r="C245" s="85">
        <f>_xlfn.XLOOKUP($A245,'Change in Proportion Calc'!$A$5:$A$311,'Change in Proportion Calc'!L$5:L$311,,0,)</f>
        <v>-38018</v>
      </c>
      <c r="D245" s="85">
        <f>_xlfn.XLOOKUP($A245,'Change in Proportion Calc'!$A$5:$A$311,'Change in Proportion Calc'!M$5:M$311,,0,)</f>
        <v>-38018</v>
      </c>
      <c r="E245" s="85">
        <f>_xlfn.XLOOKUP($A245,'Change in Proportion Calc'!$A$5:$A$311,'Change in Proportion Calc'!N$5:N$311,,0,)</f>
        <v>-38018</v>
      </c>
      <c r="F245" s="85">
        <f>_xlfn.XLOOKUP($A245,'Change in Proportion Calc'!$A$5:$A$311,'Change in Proportion Calc'!O$5:O$311,,0,)</f>
        <v>-38018</v>
      </c>
      <c r="G245" s="85">
        <f>_xlfn.XLOOKUP($A245,'Change in Proportion Calc'!$A$5:$A$311,'Change in Proportion Calc'!P$5:P$311,,0,)</f>
        <v>-35354</v>
      </c>
      <c r="H245" s="228"/>
      <c r="I245" s="85">
        <v>80452</v>
      </c>
      <c r="J245" s="85">
        <v>80452</v>
      </c>
      <c r="K245" s="85">
        <v>80452</v>
      </c>
      <c r="L245" s="85">
        <v>80452</v>
      </c>
      <c r="M245" s="85">
        <v>69994</v>
      </c>
      <c r="N245" s="85"/>
      <c r="O245" s="85">
        <v>-29178</v>
      </c>
      <c r="P245" s="85">
        <v>-29178</v>
      </c>
      <c r="Q245" s="85">
        <v>-29178</v>
      </c>
      <c r="R245" s="85">
        <v>-25969</v>
      </c>
      <c r="S245" s="228"/>
      <c r="T245" s="85">
        <v>-75725</v>
      </c>
      <c r="U245" s="85">
        <v>-75725</v>
      </c>
      <c r="V245" s="85">
        <v>-74211</v>
      </c>
      <c r="W245" s="228"/>
      <c r="X245" s="243">
        <v>11850</v>
      </c>
      <c r="Y245" s="244">
        <v>11613</v>
      </c>
      <c r="Z245" s="62"/>
      <c r="AA245" s="141">
        <v>57062</v>
      </c>
      <c r="AD245" s="244">
        <f>VLOOKUP(A245,'Change in Proportion Calc'!$A$5:$H$311,8,FALSE)+SUMIF($C$5:$AB$5,2025,C245:AB245)</f>
        <v>6443</v>
      </c>
      <c r="AF245" s="243">
        <f t="shared" si="27"/>
        <v>322963</v>
      </c>
      <c r="AG245" s="243">
        <f t="shared" si="28"/>
        <v>421687</v>
      </c>
      <c r="AI245" s="243">
        <f>VLOOKUP(A245,'OPEB Amounts_Report'!$A$10:$G$324,7,FALSE)</f>
        <v>322963</v>
      </c>
      <c r="AJ245" s="244">
        <f t="shared" si="35"/>
        <v>0</v>
      </c>
      <c r="AK245" s="244"/>
      <c r="AL245" s="354">
        <f t="shared" si="29"/>
        <v>25076</v>
      </c>
      <c r="AM245" s="243">
        <f t="shared" si="30"/>
        <v>-50856</v>
      </c>
      <c r="AN245" s="243">
        <f t="shared" si="31"/>
        <v>-60955</v>
      </c>
      <c r="AO245" s="243">
        <f t="shared" si="32"/>
        <v>16465</v>
      </c>
      <c r="AP245" s="243">
        <f t="shared" si="33"/>
        <v>31976</v>
      </c>
      <c r="AQ245" s="243">
        <f t="shared" si="34"/>
        <v>-35354</v>
      </c>
    </row>
    <row r="246" spans="1:43">
      <c r="A246" s="59">
        <v>2440</v>
      </c>
      <c r="B246" s="63" t="s">
        <v>401</v>
      </c>
      <c r="C246" s="85">
        <f>_xlfn.XLOOKUP($A246,'Change in Proportion Calc'!$A$5:$A$311,'Change in Proportion Calc'!L$5:L$311,,0,)</f>
        <v>76756</v>
      </c>
      <c r="D246" s="85">
        <f>_xlfn.XLOOKUP($A246,'Change in Proportion Calc'!$A$5:$A$311,'Change in Proportion Calc'!M$5:M$311,,0,)</f>
        <v>76756</v>
      </c>
      <c r="E246" s="85">
        <f>_xlfn.XLOOKUP($A246,'Change in Proportion Calc'!$A$5:$A$311,'Change in Proportion Calc'!N$5:N$311,,0,)</f>
        <v>76756</v>
      </c>
      <c r="F246" s="85">
        <f>_xlfn.XLOOKUP($A246,'Change in Proportion Calc'!$A$5:$A$311,'Change in Proportion Calc'!O$5:O$311,,0,)</f>
        <v>76756</v>
      </c>
      <c r="G246" s="85">
        <f>_xlfn.XLOOKUP($A246,'Change in Proportion Calc'!$A$5:$A$311,'Change in Proportion Calc'!P$5:P$311,,0,)</f>
        <v>71384</v>
      </c>
      <c r="H246" s="228"/>
      <c r="I246" s="85">
        <v>34223</v>
      </c>
      <c r="J246" s="85">
        <v>34223</v>
      </c>
      <c r="K246" s="85">
        <v>34223</v>
      </c>
      <c r="L246" s="85">
        <v>34223</v>
      </c>
      <c r="M246" s="85">
        <v>29772</v>
      </c>
      <c r="N246" s="85"/>
      <c r="O246" s="85">
        <v>64738</v>
      </c>
      <c r="P246" s="85">
        <v>64738</v>
      </c>
      <c r="Q246" s="85">
        <v>64738</v>
      </c>
      <c r="R246" s="85">
        <v>57619</v>
      </c>
      <c r="S246" s="228"/>
      <c r="T246" s="85">
        <v>55721</v>
      </c>
      <c r="U246" s="85">
        <v>55721</v>
      </c>
      <c r="V246" s="85">
        <v>54605</v>
      </c>
      <c r="W246" s="228"/>
      <c r="X246" s="243">
        <v>108195</v>
      </c>
      <c r="Y246" s="244">
        <v>106031</v>
      </c>
      <c r="Z246" s="62"/>
      <c r="AA246" s="141">
        <v>3478</v>
      </c>
      <c r="AD246" s="244">
        <f>VLOOKUP(A246,'Change in Proportion Calc'!$A$5:$H$311,8,FALSE)+SUMIF($C$5:$AB$5,2025,C246:AB246)</f>
        <v>343111</v>
      </c>
      <c r="AF246" s="243">
        <f t="shared" si="27"/>
        <v>914301</v>
      </c>
      <c r="AG246" s="243">
        <f t="shared" si="28"/>
        <v>0</v>
      </c>
      <c r="AI246" s="243">
        <f>VLOOKUP(A246,'OPEB Amounts_Report'!$A$10:$G$324,7,FALSE)</f>
        <v>914301</v>
      </c>
      <c r="AJ246" s="244">
        <f t="shared" si="35"/>
        <v>0</v>
      </c>
      <c r="AK246" s="244"/>
      <c r="AL246" s="354">
        <f t="shared" si="29"/>
        <v>2440</v>
      </c>
      <c r="AM246" s="243">
        <f t="shared" si="30"/>
        <v>337469</v>
      </c>
      <c r="AN246" s="243">
        <f t="shared" si="31"/>
        <v>230322</v>
      </c>
      <c r="AO246" s="243">
        <f t="shared" si="32"/>
        <v>168598</v>
      </c>
      <c r="AP246" s="243">
        <f t="shared" si="33"/>
        <v>106528</v>
      </c>
      <c r="AQ246" s="243">
        <f t="shared" si="34"/>
        <v>71384</v>
      </c>
    </row>
    <row r="247" spans="1:43">
      <c r="A247" s="61">
        <v>2309</v>
      </c>
      <c r="B247" s="62" t="s">
        <v>233</v>
      </c>
      <c r="C247" s="85">
        <f>_xlfn.XLOOKUP($A247,'Change in Proportion Calc'!$A$5:$A$311,'Change in Proportion Calc'!L$5:L$311,,0,)</f>
        <v>26881</v>
      </c>
      <c r="D247" s="85">
        <f>_xlfn.XLOOKUP($A247,'Change in Proportion Calc'!$A$5:$A$311,'Change in Proportion Calc'!M$5:M$311,,0,)</f>
        <v>26881</v>
      </c>
      <c r="E247" s="85">
        <f>_xlfn.XLOOKUP($A247,'Change in Proportion Calc'!$A$5:$A$311,'Change in Proportion Calc'!N$5:N$311,,0,)</f>
        <v>26881</v>
      </c>
      <c r="F247" s="85">
        <f>_xlfn.XLOOKUP($A247,'Change in Proportion Calc'!$A$5:$A$311,'Change in Proportion Calc'!O$5:O$311,,0,)</f>
        <v>26881</v>
      </c>
      <c r="G247" s="85">
        <f>_xlfn.XLOOKUP($A247,'Change in Proportion Calc'!$A$5:$A$311,'Change in Proportion Calc'!P$5:P$311,,0,)</f>
        <v>24999</v>
      </c>
      <c r="H247" s="228"/>
      <c r="I247" s="85">
        <v>9171</v>
      </c>
      <c r="J247" s="85">
        <v>9171</v>
      </c>
      <c r="K247" s="85">
        <v>9171</v>
      </c>
      <c r="L247" s="85">
        <v>9171</v>
      </c>
      <c r="M247" s="85">
        <v>7981</v>
      </c>
      <c r="N247" s="85"/>
      <c r="O247" s="85">
        <v>-17636</v>
      </c>
      <c r="P247" s="85">
        <v>-17636</v>
      </c>
      <c r="Q247" s="85">
        <v>-17636</v>
      </c>
      <c r="R247" s="85">
        <v>-15698</v>
      </c>
      <c r="S247" s="228"/>
      <c r="T247" s="85">
        <v>36202</v>
      </c>
      <c r="U247" s="85">
        <v>36202</v>
      </c>
      <c r="V247" s="85">
        <v>35480</v>
      </c>
      <c r="W247" s="228"/>
      <c r="X247" s="243">
        <v>36580</v>
      </c>
      <c r="Y247" s="244">
        <v>35850</v>
      </c>
      <c r="Z247" s="62"/>
      <c r="AA247" s="141">
        <v>-6955</v>
      </c>
      <c r="AD247" s="244">
        <f>VLOOKUP(A247,'Change in Proportion Calc'!$A$5:$H$311,8,FALSE)+SUMIF($C$5:$AB$5,2025,C247:AB247)</f>
        <v>84243</v>
      </c>
      <c r="AF247" s="243">
        <f t="shared" si="27"/>
        <v>275549</v>
      </c>
      <c r="AG247" s="243">
        <f t="shared" si="28"/>
        <v>50970</v>
      </c>
      <c r="AI247" s="243">
        <f>VLOOKUP(A247,'OPEB Amounts_Report'!$A$10:$G$324,7,FALSE)</f>
        <v>275549</v>
      </c>
      <c r="AJ247" s="244">
        <f t="shared" si="35"/>
        <v>0</v>
      </c>
      <c r="AK247" s="244"/>
      <c r="AL247" s="354">
        <f t="shared" si="29"/>
        <v>2309</v>
      </c>
      <c r="AM247" s="243">
        <f t="shared" si="30"/>
        <v>90468</v>
      </c>
      <c r="AN247" s="243">
        <f t="shared" si="31"/>
        <v>53896</v>
      </c>
      <c r="AO247" s="243">
        <f t="shared" si="32"/>
        <v>20354</v>
      </c>
      <c r="AP247" s="243">
        <f t="shared" si="33"/>
        <v>34862</v>
      </c>
      <c r="AQ247" s="243">
        <f t="shared" si="34"/>
        <v>24999</v>
      </c>
    </row>
    <row r="248" spans="1:43">
      <c r="A248" s="59">
        <v>2396</v>
      </c>
      <c r="B248" s="63" t="s">
        <v>234</v>
      </c>
      <c r="C248" s="85">
        <f>_xlfn.XLOOKUP($A248,'Change in Proportion Calc'!$A$5:$A$311,'Change in Proportion Calc'!L$5:L$311,,0,)</f>
        <v>-17006</v>
      </c>
      <c r="D248" s="85">
        <f>_xlfn.XLOOKUP($A248,'Change in Proportion Calc'!$A$5:$A$311,'Change in Proportion Calc'!M$5:M$311,,0,)</f>
        <v>-17006</v>
      </c>
      <c r="E248" s="85">
        <f>_xlfn.XLOOKUP($A248,'Change in Proportion Calc'!$A$5:$A$311,'Change in Proportion Calc'!N$5:N$311,,0,)</f>
        <v>-17006</v>
      </c>
      <c r="F248" s="85">
        <f>_xlfn.XLOOKUP($A248,'Change in Proportion Calc'!$A$5:$A$311,'Change in Proportion Calc'!O$5:O$311,,0,)</f>
        <v>-17006</v>
      </c>
      <c r="G248" s="85">
        <f>_xlfn.XLOOKUP($A248,'Change in Proportion Calc'!$A$5:$A$311,'Change in Proportion Calc'!P$5:P$311,,0,)</f>
        <v>-15815</v>
      </c>
      <c r="H248" s="228"/>
      <c r="I248" s="85">
        <v>4661</v>
      </c>
      <c r="J248" s="85">
        <v>4661</v>
      </c>
      <c r="K248" s="85">
        <v>4661</v>
      </c>
      <c r="L248" s="85">
        <v>4661</v>
      </c>
      <c r="M248" s="85">
        <v>4057</v>
      </c>
      <c r="N248" s="85"/>
      <c r="O248" s="85">
        <v>17830</v>
      </c>
      <c r="P248" s="85">
        <v>17830</v>
      </c>
      <c r="Q248" s="85">
        <v>17830</v>
      </c>
      <c r="R248" s="85">
        <v>15871</v>
      </c>
      <c r="S248" s="228"/>
      <c r="T248" s="85">
        <v>14335</v>
      </c>
      <c r="U248" s="85">
        <v>14335</v>
      </c>
      <c r="V248" s="85">
        <v>14049</v>
      </c>
      <c r="W248" s="228"/>
      <c r="X248" s="243">
        <v>21038</v>
      </c>
      <c r="Y248" s="244">
        <v>20617</v>
      </c>
      <c r="Z248" s="62"/>
      <c r="AA248" s="141">
        <v>12231</v>
      </c>
      <c r="AD248" s="244">
        <f>VLOOKUP(A248,'Change in Proportion Calc'!$A$5:$H$311,8,FALSE)+SUMIF($C$5:$AB$5,2025,C248:AB248)</f>
        <v>53089</v>
      </c>
      <c r="AF248" s="243">
        <f t="shared" si="27"/>
        <v>118572</v>
      </c>
      <c r="AG248" s="243">
        <f t="shared" si="28"/>
        <v>83839</v>
      </c>
      <c r="AI248" s="243">
        <f>VLOOKUP(A248,'OPEB Amounts_Report'!$A$10:$G$324,7,FALSE)</f>
        <v>118572</v>
      </c>
      <c r="AJ248" s="244">
        <f t="shared" si="35"/>
        <v>0</v>
      </c>
      <c r="AK248" s="244"/>
      <c r="AL248" s="354">
        <f t="shared" si="29"/>
        <v>2396</v>
      </c>
      <c r="AM248" s="243">
        <f t="shared" si="30"/>
        <v>40437</v>
      </c>
      <c r="AN248" s="243">
        <f t="shared" si="31"/>
        <v>19534</v>
      </c>
      <c r="AO248" s="243">
        <f t="shared" si="32"/>
        <v>3526</v>
      </c>
      <c r="AP248" s="243">
        <f t="shared" si="33"/>
        <v>-12949</v>
      </c>
      <c r="AQ248" s="243">
        <f t="shared" si="34"/>
        <v>-15815</v>
      </c>
    </row>
    <row r="249" spans="1:43" s="191" customFormat="1">
      <c r="A249" s="59" t="s">
        <v>606</v>
      </c>
      <c r="B249" s="63" t="s">
        <v>484</v>
      </c>
      <c r="C249" s="85">
        <f>_xlfn.XLOOKUP($A249,'Change in Proportion Calc'!$A$5:$A$311,'Change in Proportion Calc'!L$5:L$311,,0,)</f>
        <v>909559</v>
      </c>
      <c r="D249" s="85">
        <f>_xlfn.XLOOKUP($A249,'Change in Proportion Calc'!$A$5:$A$311,'Change in Proportion Calc'!M$5:M$311,,0,)</f>
        <v>909559</v>
      </c>
      <c r="E249" s="85">
        <f>_xlfn.XLOOKUP($A249,'Change in Proportion Calc'!$A$5:$A$311,'Change in Proportion Calc'!N$5:N$311,,0,)</f>
        <v>909559</v>
      </c>
      <c r="F249" s="85">
        <f>_xlfn.XLOOKUP($A249,'Change in Proportion Calc'!$A$5:$A$311,'Change in Proportion Calc'!O$5:O$311,,0,)</f>
        <v>909559</v>
      </c>
      <c r="G249" s="85">
        <f>_xlfn.XLOOKUP($A249,'Change in Proportion Calc'!$A$5:$A$311,'Change in Proportion Calc'!P$5:P$311,,0,)</f>
        <v>845888</v>
      </c>
      <c r="H249" s="228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228"/>
      <c r="T249" s="85"/>
      <c r="U249" s="85"/>
      <c r="V249" s="85"/>
      <c r="W249" s="228"/>
      <c r="X249" s="243"/>
      <c r="Y249" s="244"/>
      <c r="Z249" s="228"/>
      <c r="AA249" s="244"/>
      <c r="AD249" s="244">
        <f>VLOOKUP(A249,'Change in Proportion Calc'!$A$5:$H$311,8,FALSE)+SUMIF($C$5:$AB$5,2025,C249:AB249)</f>
        <v>909559</v>
      </c>
      <c r="AF249" s="243">
        <f t="shared" si="27"/>
        <v>4484124</v>
      </c>
      <c r="AG249" s="243">
        <f t="shared" si="28"/>
        <v>0</v>
      </c>
      <c r="AI249" s="243">
        <f>VLOOKUP(A249,'OPEB Amounts_Report'!$A$10:$G$324,7,FALSE)</f>
        <v>4484124</v>
      </c>
      <c r="AJ249" s="244">
        <f t="shared" si="35"/>
        <v>0</v>
      </c>
      <c r="AK249" s="244"/>
      <c r="AL249" s="354" t="str">
        <f t="shared" si="29"/>
        <v>3010E</v>
      </c>
      <c r="AM249" s="243">
        <f t="shared" si="30"/>
        <v>909559</v>
      </c>
      <c r="AN249" s="243">
        <f t="shared" si="31"/>
        <v>909559</v>
      </c>
      <c r="AO249" s="243">
        <f t="shared" si="32"/>
        <v>909559</v>
      </c>
      <c r="AP249" s="243">
        <f t="shared" si="33"/>
        <v>909559</v>
      </c>
      <c r="AQ249" s="243">
        <f t="shared" si="34"/>
        <v>845888</v>
      </c>
    </row>
    <row r="250" spans="1:43">
      <c r="A250" s="61">
        <v>3380</v>
      </c>
      <c r="B250" s="62" t="s">
        <v>235</v>
      </c>
      <c r="C250" s="85">
        <f>_xlfn.XLOOKUP($A250,'Change in Proportion Calc'!$A$5:$A$311,'Change in Proportion Calc'!L$5:L$311,,0,)</f>
        <v>-2782</v>
      </c>
      <c r="D250" s="85">
        <f>_xlfn.XLOOKUP($A250,'Change in Proportion Calc'!$A$5:$A$311,'Change in Proportion Calc'!M$5:M$311,,0,)</f>
        <v>-2782</v>
      </c>
      <c r="E250" s="85">
        <f>_xlfn.XLOOKUP($A250,'Change in Proportion Calc'!$A$5:$A$311,'Change in Proportion Calc'!N$5:N$311,,0,)</f>
        <v>-2782</v>
      </c>
      <c r="F250" s="85">
        <f>_xlfn.XLOOKUP($A250,'Change in Proportion Calc'!$A$5:$A$311,'Change in Proportion Calc'!O$5:O$311,,0,)</f>
        <v>-2782</v>
      </c>
      <c r="G250" s="85">
        <f>_xlfn.XLOOKUP($A250,'Change in Proportion Calc'!$A$5:$A$311,'Change in Proportion Calc'!P$5:P$311,,0,)</f>
        <v>-2589</v>
      </c>
      <c r="H250" s="228"/>
      <c r="I250" s="85">
        <v>-12836</v>
      </c>
      <c r="J250" s="85">
        <v>-12836</v>
      </c>
      <c r="K250" s="85">
        <v>-12836</v>
      </c>
      <c r="L250" s="85">
        <v>-12836</v>
      </c>
      <c r="M250" s="85">
        <v>-11166</v>
      </c>
      <c r="N250" s="85"/>
      <c r="O250" s="85">
        <v>-4750</v>
      </c>
      <c r="P250" s="85">
        <v>-4750</v>
      </c>
      <c r="Q250" s="85">
        <v>-4750</v>
      </c>
      <c r="R250" s="85">
        <v>-4228</v>
      </c>
      <c r="S250" s="228"/>
      <c r="T250" s="85">
        <v>9395</v>
      </c>
      <c r="U250" s="85">
        <v>9395</v>
      </c>
      <c r="V250" s="85">
        <v>9206</v>
      </c>
      <c r="W250" s="228"/>
      <c r="X250" s="243">
        <v>6183</v>
      </c>
      <c r="Y250" s="244">
        <v>6057</v>
      </c>
      <c r="Z250" s="62"/>
      <c r="AA250" s="141">
        <v>-8691</v>
      </c>
      <c r="AD250" s="244">
        <f>VLOOKUP(A250,'Change in Proportion Calc'!$A$5:$H$311,8,FALSE)+SUMIF($C$5:$AB$5,2025,C250:AB250)</f>
        <v>-13481</v>
      </c>
      <c r="AF250" s="243">
        <f t="shared" si="27"/>
        <v>24658</v>
      </c>
      <c r="AG250" s="243">
        <f t="shared" si="28"/>
        <v>77119</v>
      </c>
      <c r="AI250" s="243">
        <f>VLOOKUP(A250,'OPEB Amounts_Report'!$A$10:$G$324,7,FALSE)</f>
        <v>24658</v>
      </c>
      <c r="AJ250" s="244">
        <f t="shared" si="35"/>
        <v>0</v>
      </c>
      <c r="AK250" s="244"/>
      <c r="AL250" s="354">
        <f t="shared" si="29"/>
        <v>3380</v>
      </c>
      <c r="AM250" s="243">
        <f t="shared" si="30"/>
        <v>-4916</v>
      </c>
      <c r="AN250" s="243">
        <f t="shared" si="31"/>
        <v>-11162</v>
      </c>
      <c r="AO250" s="243">
        <f t="shared" si="32"/>
        <v>-19846</v>
      </c>
      <c r="AP250" s="243">
        <f t="shared" si="33"/>
        <v>-13948</v>
      </c>
      <c r="AQ250" s="243">
        <f t="shared" si="34"/>
        <v>-2589</v>
      </c>
    </row>
    <row r="251" spans="1:43">
      <c r="A251" s="59">
        <v>2420</v>
      </c>
      <c r="B251" s="63" t="s">
        <v>236</v>
      </c>
      <c r="C251" s="85">
        <f>_xlfn.XLOOKUP($A251,'Change in Proportion Calc'!$A$5:$A$311,'Change in Proportion Calc'!L$5:L$311,,0,)</f>
        <v>7525</v>
      </c>
      <c r="D251" s="85">
        <f>_xlfn.XLOOKUP($A251,'Change in Proportion Calc'!$A$5:$A$311,'Change in Proportion Calc'!M$5:M$311,,0,)</f>
        <v>7525</v>
      </c>
      <c r="E251" s="85">
        <f>_xlfn.XLOOKUP($A251,'Change in Proportion Calc'!$A$5:$A$311,'Change in Proportion Calc'!N$5:N$311,,0,)</f>
        <v>7525</v>
      </c>
      <c r="F251" s="85">
        <f>_xlfn.XLOOKUP($A251,'Change in Proportion Calc'!$A$5:$A$311,'Change in Proportion Calc'!O$5:O$311,,0,)</f>
        <v>7525</v>
      </c>
      <c r="G251" s="85">
        <f>_xlfn.XLOOKUP($A251,'Change in Proportion Calc'!$A$5:$A$311,'Change in Proportion Calc'!P$5:P$311,,0,)</f>
        <v>7000</v>
      </c>
      <c r="H251" s="228"/>
      <c r="I251" s="85">
        <v>9611</v>
      </c>
      <c r="J251" s="85">
        <v>9611</v>
      </c>
      <c r="K251" s="85">
        <v>9611</v>
      </c>
      <c r="L251" s="85">
        <v>9611</v>
      </c>
      <c r="M251" s="85">
        <v>8361</v>
      </c>
      <c r="N251" s="85"/>
      <c r="O251" s="85">
        <v>-16358</v>
      </c>
      <c r="P251" s="85">
        <v>-16358</v>
      </c>
      <c r="Q251" s="85">
        <v>-16358</v>
      </c>
      <c r="R251" s="85">
        <v>-14559</v>
      </c>
      <c r="S251" s="228"/>
      <c r="T251" s="85">
        <v>-5669</v>
      </c>
      <c r="U251" s="85">
        <v>-5669</v>
      </c>
      <c r="V251" s="85">
        <v>-5557</v>
      </c>
      <c r="W251" s="228"/>
      <c r="X251" s="243">
        <v>-28423</v>
      </c>
      <c r="Y251" s="244">
        <v>-27853</v>
      </c>
      <c r="Z251" s="62"/>
      <c r="AA251" s="141">
        <v>22353</v>
      </c>
      <c r="AD251" s="244">
        <f>VLOOKUP(A251,'Change in Proportion Calc'!$A$5:$H$311,8,FALSE)+SUMIF($C$5:$AB$5,2025,C251:AB251)</f>
        <v>-10961</v>
      </c>
      <c r="AF251" s="243">
        <f t="shared" si="27"/>
        <v>74294</v>
      </c>
      <c r="AG251" s="243">
        <f t="shared" si="28"/>
        <v>86354</v>
      </c>
      <c r="AI251" s="243">
        <f>VLOOKUP(A251,'OPEB Amounts_Report'!$A$10:$G$324,7,FALSE)</f>
        <v>74294</v>
      </c>
      <c r="AJ251" s="244">
        <f t="shared" si="35"/>
        <v>0</v>
      </c>
      <c r="AK251" s="244"/>
      <c r="AL251" s="354">
        <f t="shared" si="29"/>
        <v>2420</v>
      </c>
      <c r="AM251" s="243">
        <f t="shared" si="30"/>
        <v>-32744</v>
      </c>
      <c r="AN251" s="243">
        <f t="shared" si="31"/>
        <v>-4779</v>
      </c>
      <c r="AO251" s="243">
        <f t="shared" si="32"/>
        <v>2577</v>
      </c>
      <c r="AP251" s="243">
        <f t="shared" si="33"/>
        <v>15886</v>
      </c>
      <c r="AQ251" s="243">
        <f t="shared" si="34"/>
        <v>7000</v>
      </c>
    </row>
    <row r="252" spans="1:43">
      <c r="A252" s="61">
        <v>2740</v>
      </c>
      <c r="B252" s="62" t="s">
        <v>237</v>
      </c>
      <c r="C252" s="85">
        <f>_xlfn.XLOOKUP($A252,'Change in Proportion Calc'!$A$5:$A$311,'Change in Proportion Calc'!L$5:L$311,,0,)</f>
        <v>-7423</v>
      </c>
      <c r="D252" s="85">
        <f>_xlfn.XLOOKUP($A252,'Change in Proportion Calc'!$A$5:$A$311,'Change in Proportion Calc'!M$5:M$311,,0,)</f>
        <v>-7423</v>
      </c>
      <c r="E252" s="85">
        <f>_xlfn.XLOOKUP($A252,'Change in Proportion Calc'!$A$5:$A$311,'Change in Proportion Calc'!N$5:N$311,,0,)</f>
        <v>-7423</v>
      </c>
      <c r="F252" s="85">
        <f>_xlfn.XLOOKUP($A252,'Change in Proportion Calc'!$A$5:$A$311,'Change in Proportion Calc'!O$5:O$311,,0,)</f>
        <v>-7423</v>
      </c>
      <c r="G252" s="85">
        <f>_xlfn.XLOOKUP($A252,'Change in Proportion Calc'!$A$5:$A$311,'Change in Proportion Calc'!P$5:P$311,,0,)</f>
        <v>-6905</v>
      </c>
      <c r="H252" s="228"/>
      <c r="I252" s="85">
        <v>-6783</v>
      </c>
      <c r="J252" s="85">
        <v>-6783</v>
      </c>
      <c r="K252" s="85">
        <v>-6783</v>
      </c>
      <c r="L252" s="85">
        <v>-6783</v>
      </c>
      <c r="M252" s="85">
        <v>-5902</v>
      </c>
      <c r="N252" s="85"/>
      <c r="O252" s="85">
        <v>6429</v>
      </c>
      <c r="P252" s="85">
        <v>6429</v>
      </c>
      <c r="Q252" s="85">
        <v>6429</v>
      </c>
      <c r="R252" s="85">
        <v>5722</v>
      </c>
      <c r="S252" s="228"/>
      <c r="T252" s="85">
        <v>6884</v>
      </c>
      <c r="U252" s="85">
        <v>6884</v>
      </c>
      <c r="V252" s="85">
        <v>6747</v>
      </c>
      <c r="W252" s="228"/>
      <c r="X252" s="243">
        <v>-5238</v>
      </c>
      <c r="Y252" s="244">
        <v>-5133</v>
      </c>
      <c r="Z252" s="62"/>
      <c r="AA252" s="141">
        <v>-2296</v>
      </c>
      <c r="AD252" s="244">
        <f>VLOOKUP(A252,'Change in Proportion Calc'!$A$5:$H$311,8,FALSE)+SUMIF($C$5:$AB$5,2025,C252:AB252)</f>
        <v>-8427</v>
      </c>
      <c r="AF252" s="243">
        <f t="shared" si="27"/>
        <v>32211</v>
      </c>
      <c r="AG252" s="243">
        <f t="shared" si="28"/>
        <v>67981</v>
      </c>
      <c r="AI252" s="243">
        <f>VLOOKUP(A252,'OPEB Amounts_Report'!$A$10:$G$324,7,FALSE)</f>
        <v>32211</v>
      </c>
      <c r="AJ252" s="244">
        <f t="shared" si="35"/>
        <v>0</v>
      </c>
      <c r="AK252" s="244"/>
      <c r="AL252" s="354">
        <f t="shared" si="29"/>
        <v>2740</v>
      </c>
      <c r="AM252" s="243">
        <f t="shared" si="30"/>
        <v>-6026</v>
      </c>
      <c r="AN252" s="243">
        <f t="shared" si="31"/>
        <v>-1030</v>
      </c>
      <c r="AO252" s="243">
        <f t="shared" si="32"/>
        <v>-8484</v>
      </c>
      <c r="AP252" s="243">
        <f t="shared" si="33"/>
        <v>-13325</v>
      </c>
      <c r="AQ252" s="243">
        <f t="shared" si="34"/>
        <v>-6905</v>
      </c>
    </row>
    <row r="253" spans="1:43">
      <c r="A253" s="59">
        <v>2346</v>
      </c>
      <c r="B253" s="63" t="s">
        <v>238</v>
      </c>
      <c r="C253" s="85">
        <f>_xlfn.XLOOKUP($A253,'Change in Proportion Calc'!$A$5:$A$311,'Change in Proportion Calc'!L$5:L$311,,0,)</f>
        <v>-20033</v>
      </c>
      <c r="D253" s="85">
        <f>_xlfn.XLOOKUP($A253,'Change in Proportion Calc'!$A$5:$A$311,'Change in Proportion Calc'!M$5:M$311,,0,)</f>
        <v>-20033</v>
      </c>
      <c r="E253" s="85">
        <f>_xlfn.XLOOKUP($A253,'Change in Proportion Calc'!$A$5:$A$311,'Change in Proportion Calc'!N$5:N$311,,0,)</f>
        <v>-20033</v>
      </c>
      <c r="F253" s="85">
        <f>_xlfn.XLOOKUP($A253,'Change in Proportion Calc'!$A$5:$A$311,'Change in Proportion Calc'!O$5:O$311,,0,)</f>
        <v>-20033</v>
      </c>
      <c r="G253" s="85">
        <f>_xlfn.XLOOKUP($A253,'Change in Proportion Calc'!$A$5:$A$311,'Change in Proportion Calc'!P$5:P$311,,0,)</f>
        <v>-18633</v>
      </c>
      <c r="H253" s="228"/>
      <c r="I253" s="85">
        <v>-1805</v>
      </c>
      <c r="J253" s="85">
        <v>-1805</v>
      </c>
      <c r="K253" s="85">
        <v>-1805</v>
      </c>
      <c r="L253" s="85">
        <v>-1805</v>
      </c>
      <c r="M253" s="85">
        <v>-1568</v>
      </c>
      <c r="N253" s="85"/>
      <c r="O253" s="85">
        <v>20278</v>
      </c>
      <c r="P253" s="85">
        <v>20278</v>
      </c>
      <c r="Q253" s="85">
        <v>20278</v>
      </c>
      <c r="R253" s="85">
        <v>18049</v>
      </c>
      <c r="S253" s="228"/>
      <c r="T253" s="85">
        <v>-2915</v>
      </c>
      <c r="U253" s="85">
        <v>-2915</v>
      </c>
      <c r="V253" s="85">
        <v>-2859</v>
      </c>
      <c r="W253" s="228"/>
      <c r="X253" s="243">
        <v>1803</v>
      </c>
      <c r="Y253" s="244">
        <v>1768</v>
      </c>
      <c r="Z253" s="62"/>
      <c r="AA253" s="141">
        <v>14590</v>
      </c>
      <c r="AD253" s="244">
        <f>VLOOKUP(A253,'Change in Proportion Calc'!$A$5:$H$311,8,FALSE)+SUMIF($C$5:$AB$5,2025,C253:AB253)</f>
        <v>11918</v>
      </c>
      <c r="AF253" s="243">
        <f t="shared" si="27"/>
        <v>60373</v>
      </c>
      <c r="AG253" s="243">
        <f t="shared" si="28"/>
        <v>111522</v>
      </c>
      <c r="AI253" s="243">
        <f>VLOOKUP(A253,'OPEB Amounts_Report'!$A$10:$G$324,7,FALSE)</f>
        <v>60373</v>
      </c>
      <c r="AJ253" s="244">
        <f t="shared" si="35"/>
        <v>0</v>
      </c>
      <c r="AK253" s="244"/>
      <c r="AL253" s="354">
        <f t="shared" si="29"/>
        <v>2346</v>
      </c>
      <c r="AM253" s="243">
        <f t="shared" si="30"/>
        <v>-2707</v>
      </c>
      <c r="AN253" s="243">
        <f t="shared" si="31"/>
        <v>-4419</v>
      </c>
      <c r="AO253" s="243">
        <f t="shared" si="32"/>
        <v>-3789</v>
      </c>
      <c r="AP253" s="243">
        <f t="shared" si="33"/>
        <v>-21601</v>
      </c>
      <c r="AQ253" s="243">
        <f t="shared" si="34"/>
        <v>-18633</v>
      </c>
    </row>
    <row r="254" spans="1:43">
      <c r="A254" s="61">
        <v>21150</v>
      </c>
      <c r="B254" s="62" t="s">
        <v>239</v>
      </c>
      <c r="C254" s="85">
        <f>_xlfn.XLOOKUP($A254,'Change in Proportion Calc'!$A$5:$A$311,'Change in Proportion Calc'!L$5:L$311,,0,)</f>
        <v>141373</v>
      </c>
      <c r="D254" s="85">
        <f>_xlfn.XLOOKUP($A254,'Change in Proportion Calc'!$A$5:$A$311,'Change in Proportion Calc'!M$5:M$311,,0,)</f>
        <v>141373</v>
      </c>
      <c r="E254" s="85">
        <f>_xlfn.XLOOKUP($A254,'Change in Proportion Calc'!$A$5:$A$311,'Change in Proportion Calc'!N$5:N$311,,0,)</f>
        <v>141373</v>
      </c>
      <c r="F254" s="85">
        <f>_xlfn.XLOOKUP($A254,'Change in Proportion Calc'!$A$5:$A$311,'Change in Proportion Calc'!O$5:O$311,,0,)</f>
        <v>141373</v>
      </c>
      <c r="G254" s="85">
        <f>_xlfn.XLOOKUP($A254,'Change in Proportion Calc'!$A$5:$A$311,'Change in Proportion Calc'!P$5:P$311,,0,)</f>
        <v>131478</v>
      </c>
      <c r="H254" s="228"/>
      <c r="I254" s="85">
        <v>13664</v>
      </c>
      <c r="J254" s="85">
        <v>13664</v>
      </c>
      <c r="K254" s="85">
        <v>13664</v>
      </c>
      <c r="L254" s="85">
        <v>13664</v>
      </c>
      <c r="M254" s="85">
        <v>11888</v>
      </c>
      <c r="N254" s="85"/>
      <c r="O254" s="85">
        <v>23764</v>
      </c>
      <c r="P254" s="85">
        <v>23764</v>
      </c>
      <c r="Q254" s="85">
        <v>23764</v>
      </c>
      <c r="R254" s="85">
        <v>21150</v>
      </c>
      <c r="S254" s="228"/>
      <c r="T254" s="85">
        <v>26727</v>
      </c>
      <c r="U254" s="85">
        <v>26727</v>
      </c>
      <c r="V254" s="85">
        <v>26190</v>
      </c>
      <c r="W254" s="228"/>
      <c r="X254" s="243">
        <v>-16143</v>
      </c>
      <c r="Y254" s="244">
        <v>-15822</v>
      </c>
      <c r="Z254" s="62"/>
      <c r="AA254" s="141">
        <v>31231</v>
      </c>
      <c r="AD254" s="244">
        <f>VLOOKUP(A254,'Change in Proportion Calc'!$A$5:$H$311,8,FALSE)+SUMIF($C$5:$AB$5,2025,C254:AB254)</f>
        <v>220616</v>
      </c>
      <c r="AF254" s="243">
        <f t="shared" si="27"/>
        <v>871445</v>
      </c>
      <c r="AG254" s="243">
        <f t="shared" si="28"/>
        <v>15822</v>
      </c>
      <c r="AI254" s="243">
        <f>VLOOKUP(A254,'OPEB Amounts_Report'!$A$10:$G$324,7,FALSE)</f>
        <v>871445</v>
      </c>
      <c r="AJ254" s="244">
        <f t="shared" si="35"/>
        <v>0</v>
      </c>
      <c r="AK254" s="244"/>
      <c r="AL254" s="354">
        <f t="shared" si="29"/>
        <v>21150</v>
      </c>
      <c r="AM254" s="243">
        <f t="shared" si="30"/>
        <v>189706</v>
      </c>
      <c r="AN254" s="243">
        <f t="shared" si="31"/>
        <v>204991</v>
      </c>
      <c r="AO254" s="243">
        <f t="shared" si="32"/>
        <v>176187</v>
      </c>
      <c r="AP254" s="243">
        <f t="shared" si="33"/>
        <v>153261</v>
      </c>
      <c r="AQ254" s="243">
        <f t="shared" si="34"/>
        <v>131478</v>
      </c>
    </row>
    <row r="255" spans="1:43">
      <c r="A255" s="59">
        <v>32098</v>
      </c>
      <c r="B255" s="63" t="s">
        <v>240</v>
      </c>
      <c r="C255" s="85">
        <f>_xlfn.XLOOKUP($A255,'Change in Proportion Calc'!$A$5:$A$311,'Change in Proportion Calc'!L$5:L$311,,0,)</f>
        <v>-39248</v>
      </c>
      <c r="D255" s="85">
        <f>_xlfn.XLOOKUP($A255,'Change in Proportion Calc'!$A$5:$A$311,'Change in Proportion Calc'!M$5:M$311,,0,)</f>
        <v>-39248</v>
      </c>
      <c r="E255" s="85">
        <f>_xlfn.XLOOKUP($A255,'Change in Proportion Calc'!$A$5:$A$311,'Change in Proportion Calc'!N$5:N$311,,0,)</f>
        <v>-39248</v>
      </c>
      <c r="F255" s="85">
        <f>_xlfn.XLOOKUP($A255,'Change in Proportion Calc'!$A$5:$A$311,'Change in Proportion Calc'!O$5:O$311,,0,)</f>
        <v>-39248</v>
      </c>
      <c r="G255" s="85">
        <f>_xlfn.XLOOKUP($A255,'Change in Proportion Calc'!$A$5:$A$311,'Change in Proportion Calc'!P$5:P$311,,0,)</f>
        <v>-36499</v>
      </c>
      <c r="H255" s="228"/>
      <c r="I255" s="85">
        <v>22939</v>
      </c>
      <c r="J255" s="85">
        <v>22939</v>
      </c>
      <c r="K255" s="85">
        <v>22939</v>
      </c>
      <c r="L255" s="85">
        <v>22939</v>
      </c>
      <c r="M255" s="85">
        <v>19959</v>
      </c>
      <c r="N255" s="85"/>
      <c r="O255" s="85">
        <v>-11275</v>
      </c>
      <c r="P255" s="85">
        <v>-11275</v>
      </c>
      <c r="Q255" s="85">
        <v>-11275</v>
      </c>
      <c r="R255" s="85">
        <v>-10037</v>
      </c>
      <c r="S255" s="228"/>
      <c r="T255" s="85">
        <v>567</v>
      </c>
      <c r="U255" s="85">
        <v>567</v>
      </c>
      <c r="V255" s="85">
        <v>555</v>
      </c>
      <c r="W255" s="228"/>
      <c r="X255" s="243">
        <v>-27392</v>
      </c>
      <c r="Y255" s="244">
        <v>-26846</v>
      </c>
      <c r="Z255" s="62"/>
      <c r="AA255" s="141">
        <v>-6209</v>
      </c>
      <c r="AD255" s="244">
        <f>VLOOKUP(A255,'Change in Proportion Calc'!$A$5:$H$311,8,FALSE)+SUMIF($C$5:$AB$5,2025,C255:AB255)</f>
        <v>-60618</v>
      </c>
      <c r="AF255" s="243">
        <f t="shared" si="27"/>
        <v>89898</v>
      </c>
      <c r="AG255" s="243">
        <f t="shared" si="28"/>
        <v>252924</v>
      </c>
      <c r="AI255" s="243">
        <f>VLOOKUP(A255,'OPEB Amounts_Report'!$A$10:$G$324,7,FALSE)</f>
        <v>89898</v>
      </c>
      <c r="AJ255" s="244">
        <f t="shared" si="35"/>
        <v>0</v>
      </c>
      <c r="AK255" s="244"/>
      <c r="AL255" s="354">
        <f t="shared" si="29"/>
        <v>32098</v>
      </c>
      <c r="AM255" s="243">
        <f t="shared" si="30"/>
        <v>-53863</v>
      </c>
      <c r="AN255" s="243">
        <f t="shared" si="31"/>
        <v>-27029</v>
      </c>
      <c r="AO255" s="243">
        <f t="shared" si="32"/>
        <v>-26346</v>
      </c>
      <c r="AP255" s="243">
        <f t="shared" si="33"/>
        <v>-19289</v>
      </c>
      <c r="AQ255" s="243">
        <f t="shared" si="34"/>
        <v>-36499</v>
      </c>
    </row>
    <row r="256" spans="1:43">
      <c r="A256" s="61">
        <v>4520</v>
      </c>
      <c r="B256" s="62" t="s">
        <v>241</v>
      </c>
      <c r="C256" s="85">
        <f>_xlfn.XLOOKUP($A256,'Change in Proportion Calc'!$A$5:$A$311,'Change in Proportion Calc'!L$5:L$311,,0,)</f>
        <v>-188</v>
      </c>
      <c r="D256" s="85">
        <f>_xlfn.XLOOKUP($A256,'Change in Proportion Calc'!$A$5:$A$311,'Change in Proportion Calc'!M$5:M$311,,0,)</f>
        <v>-188</v>
      </c>
      <c r="E256" s="85">
        <f>_xlfn.XLOOKUP($A256,'Change in Proportion Calc'!$A$5:$A$311,'Change in Proportion Calc'!N$5:N$311,,0,)</f>
        <v>-188</v>
      </c>
      <c r="F256" s="85">
        <f>_xlfn.XLOOKUP($A256,'Change in Proportion Calc'!$A$5:$A$311,'Change in Proportion Calc'!O$5:O$311,,0,)</f>
        <v>-188</v>
      </c>
      <c r="G256" s="85">
        <f>_xlfn.XLOOKUP($A256,'Change in Proportion Calc'!$A$5:$A$311,'Change in Proportion Calc'!P$5:P$311,,0,)</f>
        <v>-176</v>
      </c>
      <c r="H256" s="228"/>
      <c r="I256" s="85">
        <v>-2297</v>
      </c>
      <c r="J256" s="85">
        <v>-2297</v>
      </c>
      <c r="K256" s="85">
        <v>-2297</v>
      </c>
      <c r="L256" s="85">
        <v>-2297</v>
      </c>
      <c r="M256" s="85">
        <v>-1996</v>
      </c>
      <c r="N256" s="85"/>
      <c r="O256" s="85">
        <v>539</v>
      </c>
      <c r="P256" s="85">
        <v>539</v>
      </c>
      <c r="Q256" s="85">
        <v>539</v>
      </c>
      <c r="R256" s="85">
        <v>482</v>
      </c>
      <c r="S256" s="228"/>
      <c r="T256" s="85">
        <v>1701</v>
      </c>
      <c r="U256" s="85">
        <v>1701</v>
      </c>
      <c r="V256" s="85">
        <v>1666</v>
      </c>
      <c r="W256" s="228"/>
      <c r="X256" s="243">
        <v>-429</v>
      </c>
      <c r="Y256" s="244">
        <v>-422</v>
      </c>
      <c r="Z256" s="62"/>
      <c r="AA256" s="141">
        <v>746</v>
      </c>
      <c r="AD256" s="244">
        <f>VLOOKUP(A256,'Change in Proportion Calc'!$A$5:$H$311,8,FALSE)+SUMIF($C$5:$AB$5,2025,C256:AB256)</f>
        <v>72</v>
      </c>
      <c r="AF256" s="243">
        <f t="shared" si="27"/>
        <v>4927</v>
      </c>
      <c r="AG256" s="243">
        <f t="shared" si="28"/>
        <v>10237</v>
      </c>
      <c r="AI256" s="243">
        <f>VLOOKUP(A256,'OPEB Amounts_Report'!$A$10:$G$324,7,FALSE)</f>
        <v>4927</v>
      </c>
      <c r="AJ256" s="244">
        <f t="shared" si="35"/>
        <v>0</v>
      </c>
      <c r="AK256" s="244"/>
      <c r="AL256" s="354">
        <f t="shared" si="29"/>
        <v>4520</v>
      </c>
      <c r="AM256" s="243">
        <f t="shared" si="30"/>
        <v>-667</v>
      </c>
      <c r="AN256" s="243">
        <f t="shared" si="31"/>
        <v>-280</v>
      </c>
      <c r="AO256" s="243">
        <f t="shared" si="32"/>
        <v>-2003</v>
      </c>
      <c r="AP256" s="243">
        <f t="shared" si="33"/>
        <v>-2184</v>
      </c>
      <c r="AQ256" s="243">
        <f t="shared" si="34"/>
        <v>-176</v>
      </c>
    </row>
    <row r="257" spans="1:43">
      <c r="A257" s="59">
        <v>9030</v>
      </c>
      <c r="B257" s="63" t="s">
        <v>242</v>
      </c>
      <c r="C257" s="85">
        <f>_xlfn.XLOOKUP($A257,'Change in Proportion Calc'!$A$5:$A$311,'Change in Proportion Calc'!L$5:L$311,,0,)</f>
        <v>883</v>
      </c>
      <c r="D257" s="85">
        <f>_xlfn.XLOOKUP($A257,'Change in Proportion Calc'!$A$5:$A$311,'Change in Proportion Calc'!M$5:M$311,,0,)</f>
        <v>883</v>
      </c>
      <c r="E257" s="85">
        <f>_xlfn.XLOOKUP($A257,'Change in Proportion Calc'!$A$5:$A$311,'Change in Proportion Calc'!N$5:N$311,,0,)</f>
        <v>883</v>
      </c>
      <c r="F257" s="85">
        <f>_xlfn.XLOOKUP($A257,'Change in Proportion Calc'!$A$5:$A$311,'Change in Proportion Calc'!O$5:O$311,,0,)</f>
        <v>883</v>
      </c>
      <c r="G257" s="85">
        <f>_xlfn.XLOOKUP($A257,'Change in Proportion Calc'!$A$5:$A$311,'Change in Proportion Calc'!P$5:P$311,,0,)</f>
        <v>819</v>
      </c>
      <c r="H257" s="228"/>
      <c r="I257" s="85">
        <v>-19495</v>
      </c>
      <c r="J257" s="85">
        <v>-19495</v>
      </c>
      <c r="K257" s="85">
        <v>-19495</v>
      </c>
      <c r="L257" s="85">
        <v>-19495</v>
      </c>
      <c r="M257" s="85">
        <v>-16962</v>
      </c>
      <c r="N257" s="85"/>
      <c r="O257" s="85">
        <v>58</v>
      </c>
      <c r="P257" s="85">
        <v>58</v>
      </c>
      <c r="Q257" s="85">
        <v>58</v>
      </c>
      <c r="R257" s="85">
        <v>50</v>
      </c>
      <c r="S257" s="228"/>
      <c r="T257" s="85">
        <v>729</v>
      </c>
      <c r="U257" s="85">
        <v>729</v>
      </c>
      <c r="V257" s="85">
        <v>714</v>
      </c>
      <c r="W257" s="228"/>
      <c r="X257" s="243">
        <v>172</v>
      </c>
      <c r="Y257" s="244">
        <v>167</v>
      </c>
      <c r="Z257" s="62"/>
      <c r="AA257" s="141">
        <v>-13599</v>
      </c>
      <c r="AD257" s="244">
        <f>VLOOKUP(A257,'Change in Proportion Calc'!$A$5:$H$311,8,FALSE)+SUMIF($C$5:$AB$5,2025,C257:AB257)</f>
        <v>-31252</v>
      </c>
      <c r="AF257" s="243">
        <f t="shared" si="27"/>
        <v>6127</v>
      </c>
      <c r="AG257" s="243">
        <f t="shared" si="28"/>
        <v>75447</v>
      </c>
      <c r="AI257" s="243">
        <f>VLOOKUP(A257,'OPEB Amounts_Report'!$A$10:$G$324,7,FALSE)</f>
        <v>6127</v>
      </c>
      <c r="AJ257" s="244">
        <f t="shared" si="35"/>
        <v>0</v>
      </c>
      <c r="AK257" s="244"/>
      <c r="AL257" s="354">
        <f t="shared" si="29"/>
        <v>9030</v>
      </c>
      <c r="AM257" s="243">
        <f t="shared" si="30"/>
        <v>-17658</v>
      </c>
      <c r="AN257" s="243">
        <f t="shared" si="31"/>
        <v>-17840</v>
      </c>
      <c r="AO257" s="243">
        <f t="shared" si="32"/>
        <v>-18562</v>
      </c>
      <c r="AP257" s="243">
        <f t="shared" si="33"/>
        <v>-16079</v>
      </c>
      <c r="AQ257" s="243">
        <f t="shared" si="34"/>
        <v>819</v>
      </c>
    </row>
    <row r="258" spans="1:43">
      <c r="A258" s="61">
        <v>20265</v>
      </c>
      <c r="B258" s="62" t="s">
        <v>243</v>
      </c>
      <c r="C258" s="85">
        <f>_xlfn.XLOOKUP($A258,'Change in Proportion Calc'!$A$5:$A$311,'Change in Proportion Calc'!L$5:L$311,,0,)</f>
        <v>-3146</v>
      </c>
      <c r="D258" s="85">
        <f>_xlfn.XLOOKUP($A258,'Change in Proportion Calc'!$A$5:$A$311,'Change in Proportion Calc'!M$5:M$311,,0,)</f>
        <v>-3146</v>
      </c>
      <c r="E258" s="85">
        <f>_xlfn.XLOOKUP($A258,'Change in Proportion Calc'!$A$5:$A$311,'Change in Proportion Calc'!N$5:N$311,,0,)</f>
        <v>-3146</v>
      </c>
      <c r="F258" s="85">
        <f>_xlfn.XLOOKUP($A258,'Change in Proportion Calc'!$A$5:$A$311,'Change in Proportion Calc'!O$5:O$311,,0,)</f>
        <v>-3146</v>
      </c>
      <c r="G258" s="85">
        <f>_xlfn.XLOOKUP($A258,'Change in Proportion Calc'!$A$5:$A$311,'Change in Proportion Calc'!P$5:P$311,,0,)</f>
        <v>-2924</v>
      </c>
      <c r="H258" s="228"/>
      <c r="I258" s="85">
        <v>31359</v>
      </c>
      <c r="J258" s="85">
        <v>31359</v>
      </c>
      <c r="K258" s="85">
        <v>31359</v>
      </c>
      <c r="L258" s="85">
        <v>31359</v>
      </c>
      <c r="M258" s="85">
        <v>27283</v>
      </c>
      <c r="N258" s="85"/>
      <c r="O258" s="85">
        <v>47042</v>
      </c>
      <c r="P258" s="85">
        <v>47042</v>
      </c>
      <c r="Q258" s="85">
        <v>47042</v>
      </c>
      <c r="R258" s="85">
        <v>41865</v>
      </c>
      <c r="S258" s="228"/>
      <c r="T258" s="85">
        <v>-26241</v>
      </c>
      <c r="U258" s="85">
        <v>-26241</v>
      </c>
      <c r="V258" s="85">
        <v>-25714</v>
      </c>
      <c r="W258" s="228"/>
      <c r="X258" s="243">
        <v>17346</v>
      </c>
      <c r="Y258" s="244">
        <v>16997</v>
      </c>
      <c r="Z258" s="62"/>
      <c r="AA258" s="141">
        <v>-1554</v>
      </c>
      <c r="AD258" s="244">
        <f>VLOOKUP(A258,'Change in Proportion Calc'!$A$5:$H$311,8,FALSE)+SUMIF($C$5:$AB$5,2025,C258:AB258)</f>
        <v>64806</v>
      </c>
      <c r="AF258" s="243">
        <f t="shared" si="27"/>
        <v>274306</v>
      </c>
      <c r="AG258" s="243">
        <f t="shared" si="28"/>
        <v>67463</v>
      </c>
      <c r="AI258" s="243">
        <f>VLOOKUP(A258,'OPEB Amounts_Report'!$A$10:$G$324,7,FALSE)</f>
        <v>274306</v>
      </c>
      <c r="AJ258" s="244">
        <f t="shared" si="35"/>
        <v>0</v>
      </c>
      <c r="AK258" s="244"/>
      <c r="AL258" s="354">
        <f t="shared" si="29"/>
        <v>20265</v>
      </c>
      <c r="AM258" s="243">
        <f t="shared" si="30"/>
        <v>66011</v>
      </c>
      <c r="AN258" s="243">
        <f t="shared" si="31"/>
        <v>49541</v>
      </c>
      <c r="AO258" s="243">
        <f t="shared" si="32"/>
        <v>70078</v>
      </c>
      <c r="AP258" s="243">
        <f t="shared" si="33"/>
        <v>24137</v>
      </c>
      <c r="AQ258" s="243">
        <f t="shared" si="34"/>
        <v>-2924</v>
      </c>
    </row>
    <row r="259" spans="1:43">
      <c r="A259" s="59">
        <v>20307</v>
      </c>
      <c r="B259" s="63" t="s">
        <v>244</v>
      </c>
      <c r="C259" s="85">
        <f>_xlfn.XLOOKUP($A259,'Change in Proportion Calc'!$A$5:$A$311,'Change in Proportion Calc'!L$5:L$311,,0,)</f>
        <v>2470</v>
      </c>
      <c r="D259" s="85">
        <f>_xlfn.XLOOKUP($A259,'Change in Proportion Calc'!$A$5:$A$311,'Change in Proportion Calc'!M$5:M$311,,0,)</f>
        <v>2470</v>
      </c>
      <c r="E259" s="85">
        <f>_xlfn.XLOOKUP($A259,'Change in Proportion Calc'!$A$5:$A$311,'Change in Proportion Calc'!N$5:N$311,,0,)</f>
        <v>2470</v>
      </c>
      <c r="F259" s="85">
        <f>_xlfn.XLOOKUP($A259,'Change in Proportion Calc'!$A$5:$A$311,'Change in Proportion Calc'!O$5:O$311,,0,)</f>
        <v>2470</v>
      </c>
      <c r="G259" s="85">
        <f>_xlfn.XLOOKUP($A259,'Change in Proportion Calc'!$A$5:$A$311,'Change in Proportion Calc'!P$5:P$311,,0,)</f>
        <v>2299</v>
      </c>
      <c r="H259" s="228"/>
      <c r="I259" s="85">
        <v>5459</v>
      </c>
      <c r="J259" s="85">
        <v>5459</v>
      </c>
      <c r="K259" s="85">
        <v>5459</v>
      </c>
      <c r="L259" s="85">
        <v>5459</v>
      </c>
      <c r="M259" s="85">
        <v>4748</v>
      </c>
      <c r="N259" s="85"/>
      <c r="O259" s="85">
        <v>28246</v>
      </c>
      <c r="P259" s="85">
        <v>28246</v>
      </c>
      <c r="Q259" s="85">
        <v>28246</v>
      </c>
      <c r="R259" s="85">
        <v>25139</v>
      </c>
      <c r="S259" s="228"/>
      <c r="T259" s="85">
        <v>30776</v>
      </c>
      <c r="U259" s="85">
        <v>30776</v>
      </c>
      <c r="V259" s="85">
        <v>30160</v>
      </c>
      <c r="W259" s="228"/>
      <c r="X259" s="243">
        <v>3349</v>
      </c>
      <c r="Y259" s="244">
        <v>3281</v>
      </c>
      <c r="Z259" s="62"/>
      <c r="AA259" s="141">
        <v>-25271</v>
      </c>
      <c r="AD259" s="244">
        <f>VLOOKUP(A259,'Change in Proportion Calc'!$A$5:$H$311,8,FALSE)+SUMIF($C$5:$AB$5,2025,C259:AB259)</f>
        <v>45029</v>
      </c>
      <c r="AF259" s="243">
        <f t="shared" si="27"/>
        <v>179152</v>
      </c>
      <c r="AG259" s="243">
        <f t="shared" si="28"/>
        <v>0</v>
      </c>
      <c r="AI259" s="243">
        <f>VLOOKUP(A259,'OPEB Amounts_Report'!$A$10:$G$324,7,FALSE)</f>
        <v>179152</v>
      </c>
      <c r="AJ259" s="244">
        <f t="shared" si="35"/>
        <v>0</v>
      </c>
      <c r="AK259" s="244"/>
      <c r="AL259" s="354">
        <f t="shared" si="29"/>
        <v>20307</v>
      </c>
      <c r="AM259" s="243">
        <f t="shared" si="30"/>
        <v>70232</v>
      </c>
      <c r="AN259" s="243">
        <f t="shared" si="31"/>
        <v>66335</v>
      </c>
      <c r="AO259" s="243">
        <f t="shared" si="32"/>
        <v>33068</v>
      </c>
      <c r="AP259" s="243">
        <f t="shared" si="33"/>
        <v>7218</v>
      </c>
      <c r="AQ259" s="243">
        <f t="shared" si="34"/>
        <v>2299</v>
      </c>
    </row>
    <row r="260" spans="1:43">
      <c r="A260" s="61">
        <v>3320</v>
      </c>
      <c r="B260" s="62" t="s">
        <v>245</v>
      </c>
      <c r="C260" s="85">
        <f>_xlfn.XLOOKUP($A260,'Change in Proportion Calc'!$A$5:$A$311,'Change in Proportion Calc'!L$5:L$311,,0,)</f>
        <v>130834</v>
      </c>
      <c r="D260" s="85">
        <f>_xlfn.XLOOKUP($A260,'Change in Proportion Calc'!$A$5:$A$311,'Change in Proportion Calc'!M$5:M$311,,0,)</f>
        <v>130834</v>
      </c>
      <c r="E260" s="85">
        <f>_xlfn.XLOOKUP($A260,'Change in Proportion Calc'!$A$5:$A$311,'Change in Proportion Calc'!N$5:N$311,,0,)</f>
        <v>130834</v>
      </c>
      <c r="F260" s="85">
        <f>_xlfn.XLOOKUP($A260,'Change in Proportion Calc'!$A$5:$A$311,'Change in Proportion Calc'!O$5:O$311,,0,)</f>
        <v>130834</v>
      </c>
      <c r="G260" s="85">
        <f>_xlfn.XLOOKUP($A260,'Change in Proportion Calc'!$A$5:$A$311,'Change in Proportion Calc'!P$5:P$311,,0,)</f>
        <v>121676</v>
      </c>
      <c r="H260" s="228"/>
      <c r="I260" s="85">
        <v>-95317</v>
      </c>
      <c r="J260" s="85">
        <v>-95317</v>
      </c>
      <c r="K260" s="85">
        <v>-95317</v>
      </c>
      <c r="L260" s="85">
        <v>-95317</v>
      </c>
      <c r="M260" s="85">
        <v>-82928</v>
      </c>
      <c r="N260" s="85"/>
      <c r="O260" s="85">
        <v>-81799</v>
      </c>
      <c r="P260" s="85">
        <v>-81799</v>
      </c>
      <c r="Q260" s="85">
        <v>-81799</v>
      </c>
      <c r="R260" s="85">
        <v>-72799</v>
      </c>
      <c r="S260" s="228"/>
      <c r="T260" s="85">
        <v>70299</v>
      </c>
      <c r="U260" s="85">
        <v>70299</v>
      </c>
      <c r="V260" s="85">
        <v>68892</v>
      </c>
      <c r="W260" s="228"/>
      <c r="X260" s="243">
        <v>-154221</v>
      </c>
      <c r="Y260" s="244">
        <v>-151136</v>
      </c>
      <c r="Z260" s="62"/>
      <c r="AA260" s="141">
        <v>-95745</v>
      </c>
      <c r="AD260" s="244">
        <f>VLOOKUP(A260,'Change in Proportion Calc'!$A$5:$H$311,8,FALSE)+SUMIF($C$5:$AB$5,2025,C260:AB260)</f>
        <v>-225949</v>
      </c>
      <c r="AF260" s="243">
        <f t="shared" si="27"/>
        <v>784203</v>
      </c>
      <c r="AG260" s="243">
        <f t="shared" si="28"/>
        <v>756412</v>
      </c>
      <c r="AI260" s="243">
        <f>VLOOKUP(A260,'OPEB Amounts_Report'!$A$10:$G$324,7,FALSE)</f>
        <v>784203</v>
      </c>
      <c r="AJ260" s="244">
        <f t="shared" si="35"/>
        <v>0</v>
      </c>
      <c r="AK260" s="244"/>
      <c r="AL260" s="354">
        <f t="shared" si="29"/>
        <v>3320</v>
      </c>
      <c r="AM260" s="243">
        <f t="shared" si="30"/>
        <v>-127119</v>
      </c>
      <c r="AN260" s="243">
        <f t="shared" si="31"/>
        <v>22610</v>
      </c>
      <c r="AO260" s="243">
        <f t="shared" si="32"/>
        <v>-37282</v>
      </c>
      <c r="AP260" s="243">
        <f t="shared" si="33"/>
        <v>47906</v>
      </c>
      <c r="AQ260" s="243">
        <f t="shared" si="34"/>
        <v>121676</v>
      </c>
    </row>
    <row r="261" spans="1:43">
      <c r="A261" s="59">
        <v>20415</v>
      </c>
      <c r="B261" s="63" t="s">
        <v>246</v>
      </c>
      <c r="C261" s="85">
        <f>_xlfn.XLOOKUP($A261,'Change in Proportion Calc'!$A$5:$A$311,'Change in Proportion Calc'!L$5:L$311,,0,)</f>
        <v>-6360</v>
      </c>
      <c r="D261" s="85">
        <f>_xlfn.XLOOKUP($A261,'Change in Proportion Calc'!$A$5:$A$311,'Change in Proportion Calc'!M$5:M$311,,0,)</f>
        <v>-6360</v>
      </c>
      <c r="E261" s="85">
        <f>_xlfn.XLOOKUP($A261,'Change in Proportion Calc'!$A$5:$A$311,'Change in Proportion Calc'!N$5:N$311,,0,)</f>
        <v>-6360</v>
      </c>
      <c r="F261" s="85">
        <f>_xlfn.XLOOKUP($A261,'Change in Proportion Calc'!$A$5:$A$311,'Change in Proportion Calc'!O$5:O$311,,0,)</f>
        <v>-6360</v>
      </c>
      <c r="G261" s="85">
        <f>_xlfn.XLOOKUP($A261,'Change in Proportion Calc'!$A$5:$A$311,'Change in Proportion Calc'!P$5:P$311,,0,)</f>
        <v>-5917</v>
      </c>
      <c r="H261" s="228"/>
      <c r="I261" s="85">
        <v>11560</v>
      </c>
      <c r="J261" s="85">
        <v>11560</v>
      </c>
      <c r="K261" s="85">
        <v>11560</v>
      </c>
      <c r="L261" s="85">
        <v>11560</v>
      </c>
      <c r="M261" s="85">
        <v>10059</v>
      </c>
      <c r="N261" s="85"/>
      <c r="O261" s="85">
        <v>31834</v>
      </c>
      <c r="P261" s="85">
        <v>31834</v>
      </c>
      <c r="Q261" s="85">
        <v>31834</v>
      </c>
      <c r="R261" s="85">
        <v>28330</v>
      </c>
      <c r="S261" s="228"/>
      <c r="T261" s="85">
        <v>6155</v>
      </c>
      <c r="U261" s="85">
        <v>6155</v>
      </c>
      <c r="V261" s="85">
        <v>6033</v>
      </c>
      <c r="W261" s="228"/>
      <c r="X261" s="243">
        <v>-20695</v>
      </c>
      <c r="Y261" s="244">
        <v>-20279</v>
      </c>
      <c r="Z261" s="62"/>
      <c r="AA261" s="141">
        <v>21793</v>
      </c>
      <c r="AD261" s="244">
        <f>VLOOKUP(A261,'Change in Proportion Calc'!$A$5:$H$311,8,FALSE)+SUMIF($C$5:$AB$5,2025,C261:AB261)</f>
        <v>44287</v>
      </c>
      <c r="AF261" s="243">
        <f t="shared" si="27"/>
        <v>148925</v>
      </c>
      <c r="AG261" s="243">
        <f t="shared" si="28"/>
        <v>51636</v>
      </c>
      <c r="AI261" s="243">
        <f>VLOOKUP(A261,'OPEB Amounts_Report'!$A$10:$G$324,7,FALSE)</f>
        <v>148925</v>
      </c>
      <c r="AJ261" s="244">
        <f t="shared" si="35"/>
        <v>0</v>
      </c>
      <c r="AK261" s="244"/>
      <c r="AL261" s="354">
        <f t="shared" si="29"/>
        <v>20415</v>
      </c>
      <c r="AM261" s="243">
        <f t="shared" si="30"/>
        <v>22910</v>
      </c>
      <c r="AN261" s="243">
        <f t="shared" si="31"/>
        <v>43067</v>
      </c>
      <c r="AO261" s="243">
        <f t="shared" si="32"/>
        <v>33530</v>
      </c>
      <c r="AP261" s="243">
        <f t="shared" si="33"/>
        <v>3699</v>
      </c>
      <c r="AQ261" s="243">
        <f t="shared" si="34"/>
        <v>-5917</v>
      </c>
    </row>
    <row r="262" spans="1:43">
      <c r="A262" s="61">
        <v>20435</v>
      </c>
      <c r="B262" s="62" t="s">
        <v>418</v>
      </c>
      <c r="C262" s="85">
        <f>_xlfn.XLOOKUP($A262,'Change in Proportion Calc'!$A$5:$A$311,'Change in Proportion Calc'!L$5:L$311,,0,)</f>
        <v>-31284</v>
      </c>
      <c r="D262" s="85">
        <f>_xlfn.XLOOKUP($A262,'Change in Proportion Calc'!$A$5:$A$311,'Change in Proportion Calc'!M$5:M$311,,0,)</f>
        <v>-31284</v>
      </c>
      <c r="E262" s="85">
        <f>_xlfn.XLOOKUP($A262,'Change in Proportion Calc'!$A$5:$A$311,'Change in Proportion Calc'!N$5:N$311,,0,)</f>
        <v>-31284</v>
      </c>
      <c r="F262" s="85">
        <f>_xlfn.XLOOKUP($A262,'Change in Proportion Calc'!$A$5:$A$311,'Change in Proportion Calc'!O$5:O$311,,0,)</f>
        <v>-31284</v>
      </c>
      <c r="G262" s="85">
        <f>_xlfn.XLOOKUP($A262,'Change in Proportion Calc'!$A$5:$A$311,'Change in Proportion Calc'!P$5:P$311,,0,)</f>
        <v>-29094</v>
      </c>
      <c r="H262" s="228"/>
      <c r="I262" s="85">
        <v>22306</v>
      </c>
      <c r="J262" s="85">
        <v>22306</v>
      </c>
      <c r="K262" s="85">
        <v>22306</v>
      </c>
      <c r="L262" s="85">
        <v>22306</v>
      </c>
      <c r="M262" s="85">
        <v>19408</v>
      </c>
      <c r="N262" s="85"/>
      <c r="O262" s="85">
        <v>44380</v>
      </c>
      <c r="P262" s="85">
        <v>44380</v>
      </c>
      <c r="Q262" s="85">
        <v>44380</v>
      </c>
      <c r="R262" s="85">
        <v>39499</v>
      </c>
      <c r="S262" s="228"/>
      <c r="T262" s="85">
        <v>1053</v>
      </c>
      <c r="U262" s="85">
        <v>1053</v>
      </c>
      <c r="V262" s="85">
        <v>1031</v>
      </c>
      <c r="W262" s="228"/>
      <c r="X262" s="243">
        <v>18891</v>
      </c>
      <c r="Y262" s="244">
        <v>18514</v>
      </c>
      <c r="Z262" s="62"/>
      <c r="AA262" s="141">
        <v>-27136</v>
      </c>
      <c r="AD262" s="244">
        <f>VLOOKUP(A262,'Change in Proportion Calc'!$A$5:$H$311,8,FALSE)+SUMIF($C$5:$AB$5,2025,C262:AB262)</f>
        <v>28210</v>
      </c>
      <c r="AF262" s="243">
        <f t="shared" si="27"/>
        <v>235183</v>
      </c>
      <c r="AG262" s="243">
        <f t="shared" si="28"/>
        <v>154230</v>
      </c>
      <c r="AI262" s="243">
        <f>VLOOKUP(A262,'OPEB Amounts_Report'!$A$10:$G$324,7,FALSE)</f>
        <v>235183</v>
      </c>
      <c r="AJ262" s="244">
        <f t="shared" si="35"/>
        <v>0</v>
      </c>
      <c r="AK262" s="244"/>
      <c r="AL262" s="354">
        <f t="shared" si="29"/>
        <v>20435</v>
      </c>
      <c r="AM262" s="243">
        <f t="shared" si="30"/>
        <v>54969</v>
      </c>
      <c r="AN262" s="243">
        <f t="shared" si="31"/>
        <v>36433</v>
      </c>
      <c r="AO262" s="243">
        <f t="shared" si="32"/>
        <v>30521</v>
      </c>
      <c r="AP262" s="243">
        <f t="shared" si="33"/>
        <v>-11876</v>
      </c>
      <c r="AQ262" s="243">
        <f t="shared" si="34"/>
        <v>-29094</v>
      </c>
    </row>
    <row r="263" spans="1:43">
      <c r="A263" s="59">
        <v>20062</v>
      </c>
      <c r="B263" s="63" t="s">
        <v>247</v>
      </c>
      <c r="C263" s="85">
        <f>_xlfn.XLOOKUP($A263,'Change in Proportion Calc'!$A$5:$A$311,'Change in Proportion Calc'!L$5:L$311,,0,)</f>
        <v>-161746</v>
      </c>
      <c r="D263" s="85">
        <f>_xlfn.XLOOKUP($A263,'Change in Proportion Calc'!$A$5:$A$311,'Change in Proportion Calc'!M$5:M$311,,0,)</f>
        <v>-161746</v>
      </c>
      <c r="E263" s="85">
        <f>_xlfn.XLOOKUP($A263,'Change in Proportion Calc'!$A$5:$A$311,'Change in Proportion Calc'!N$5:N$311,,0,)</f>
        <v>-161746</v>
      </c>
      <c r="F263" s="85">
        <f>_xlfn.XLOOKUP($A263,'Change in Proportion Calc'!$A$5:$A$311,'Change in Proportion Calc'!O$5:O$311,,0,)</f>
        <v>-161746</v>
      </c>
      <c r="G263" s="85">
        <f>_xlfn.XLOOKUP($A263,'Change in Proportion Calc'!$A$5:$A$311,'Change in Proportion Calc'!P$5:P$311,,0,)</f>
        <v>-150423</v>
      </c>
      <c r="H263" s="228"/>
      <c r="I263" s="85">
        <v>-13277</v>
      </c>
      <c r="J263" s="85">
        <v>-13277</v>
      </c>
      <c r="K263" s="85">
        <v>-13277</v>
      </c>
      <c r="L263" s="85">
        <v>-13277</v>
      </c>
      <c r="M263" s="85">
        <v>-11549</v>
      </c>
      <c r="N263" s="85"/>
      <c r="O263" s="85">
        <v>-144182</v>
      </c>
      <c r="P263" s="85">
        <v>-144182</v>
      </c>
      <c r="Q263" s="85">
        <v>-144182</v>
      </c>
      <c r="R263" s="85">
        <v>-128324</v>
      </c>
      <c r="S263" s="228"/>
      <c r="T263" s="85">
        <v>101237</v>
      </c>
      <c r="U263" s="85">
        <v>101237</v>
      </c>
      <c r="V263" s="85">
        <v>99211</v>
      </c>
      <c r="W263" s="228"/>
      <c r="X263" s="243">
        <v>5324</v>
      </c>
      <c r="Y263" s="244">
        <v>5217</v>
      </c>
      <c r="Z263" s="62"/>
      <c r="AA263" s="141">
        <v>20119</v>
      </c>
      <c r="AD263" s="244">
        <f>VLOOKUP(A263,'Change in Proportion Calc'!$A$5:$H$311,8,FALSE)+SUMIF($C$5:$AB$5,2025,C263:AB263)</f>
        <v>-192525</v>
      </c>
      <c r="AF263" s="243">
        <f t="shared" si="27"/>
        <v>205665</v>
      </c>
      <c r="AG263" s="243">
        <f t="shared" si="28"/>
        <v>1265475</v>
      </c>
      <c r="AI263" s="243">
        <f>VLOOKUP(A263,'OPEB Amounts_Report'!$A$10:$G$324,7,FALSE)</f>
        <v>205665</v>
      </c>
      <c r="AJ263" s="244">
        <f t="shared" si="35"/>
        <v>0</v>
      </c>
      <c r="AK263" s="244"/>
      <c r="AL263" s="354">
        <f t="shared" si="29"/>
        <v>20062</v>
      </c>
      <c r="AM263" s="243">
        <f t="shared" si="30"/>
        <v>-212751</v>
      </c>
      <c r="AN263" s="243">
        <f t="shared" si="31"/>
        <v>-219994</v>
      </c>
      <c r="AO263" s="243">
        <f t="shared" si="32"/>
        <v>-303347</v>
      </c>
      <c r="AP263" s="243">
        <f t="shared" si="33"/>
        <v>-173295</v>
      </c>
      <c r="AQ263" s="243">
        <f t="shared" si="34"/>
        <v>-150423</v>
      </c>
    </row>
    <row r="264" spans="1:43" s="191" customFormat="1">
      <c r="A264" s="59">
        <v>3410</v>
      </c>
      <c r="B264" s="63" t="s">
        <v>486</v>
      </c>
      <c r="C264" s="85">
        <f>_xlfn.XLOOKUP($A264,'Change in Proportion Calc'!$A$5:$A$311,'Change in Proportion Calc'!L$5:L$311,,0,)</f>
        <v>18873</v>
      </c>
      <c r="D264" s="85">
        <f>_xlfn.XLOOKUP($A264,'Change in Proportion Calc'!$A$5:$A$311,'Change in Proportion Calc'!M$5:M$311,,0,)</f>
        <v>18873</v>
      </c>
      <c r="E264" s="85">
        <f>_xlfn.XLOOKUP($A264,'Change in Proportion Calc'!$A$5:$A$311,'Change in Proportion Calc'!N$5:N$311,,0,)</f>
        <v>18873</v>
      </c>
      <c r="F264" s="85">
        <f>_xlfn.XLOOKUP($A264,'Change in Proportion Calc'!$A$5:$A$311,'Change in Proportion Calc'!O$5:O$311,,0,)</f>
        <v>18873</v>
      </c>
      <c r="G264" s="85">
        <f>_xlfn.XLOOKUP($A264,'Change in Proportion Calc'!$A$5:$A$311,'Change in Proportion Calc'!P$5:P$311,,0,)</f>
        <v>17549</v>
      </c>
      <c r="H264" s="228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228"/>
      <c r="T264" s="85"/>
      <c r="U264" s="85"/>
      <c r="V264" s="85"/>
      <c r="W264" s="228"/>
      <c r="X264" s="243"/>
      <c r="Y264" s="244"/>
      <c r="Z264" s="228"/>
      <c r="AA264" s="244"/>
      <c r="AD264" s="244">
        <f>VLOOKUP(A264,'Change in Proportion Calc'!$A$5:$H$311,8,FALSE)+SUMIF($C$5:$AB$5,2025,C264:AB264)</f>
        <v>18873</v>
      </c>
      <c r="AF264" s="243">
        <f t="shared" si="27"/>
        <v>93041</v>
      </c>
      <c r="AG264" s="243">
        <f t="shared" si="28"/>
        <v>0</v>
      </c>
      <c r="AI264" s="243">
        <f>VLOOKUP(A264,'OPEB Amounts_Report'!$A$10:$G$324,7,FALSE)</f>
        <v>93041</v>
      </c>
      <c r="AJ264" s="244">
        <f t="shared" si="35"/>
        <v>0</v>
      </c>
      <c r="AK264" s="244"/>
      <c r="AL264" s="354">
        <f t="shared" si="29"/>
        <v>3410</v>
      </c>
      <c r="AM264" s="243">
        <f t="shared" si="30"/>
        <v>18873</v>
      </c>
      <c r="AN264" s="243">
        <f t="shared" si="31"/>
        <v>18873</v>
      </c>
      <c r="AO264" s="243">
        <f t="shared" si="32"/>
        <v>18873</v>
      </c>
      <c r="AP264" s="243">
        <f t="shared" si="33"/>
        <v>18873</v>
      </c>
      <c r="AQ264" s="243">
        <f t="shared" si="34"/>
        <v>17549</v>
      </c>
    </row>
    <row r="265" spans="1:43">
      <c r="A265" s="61">
        <v>6020</v>
      </c>
      <c r="B265" s="62" t="s">
        <v>248</v>
      </c>
      <c r="C265" s="85">
        <f>_xlfn.XLOOKUP($A265,'Change in Proportion Calc'!$A$5:$A$311,'Change in Proportion Calc'!L$5:L$311,,0,)</f>
        <v>-16502</v>
      </c>
      <c r="D265" s="85">
        <f>_xlfn.XLOOKUP($A265,'Change in Proportion Calc'!$A$5:$A$311,'Change in Proportion Calc'!M$5:M$311,,0,)</f>
        <v>-16502</v>
      </c>
      <c r="E265" s="85">
        <f>_xlfn.XLOOKUP($A265,'Change in Proportion Calc'!$A$5:$A$311,'Change in Proportion Calc'!N$5:N$311,,0,)</f>
        <v>-16502</v>
      </c>
      <c r="F265" s="85">
        <f>_xlfn.XLOOKUP($A265,'Change in Proportion Calc'!$A$5:$A$311,'Change in Proportion Calc'!O$5:O$311,,0,)</f>
        <v>-16502</v>
      </c>
      <c r="G265" s="85">
        <f>_xlfn.XLOOKUP($A265,'Change in Proportion Calc'!$A$5:$A$311,'Change in Proportion Calc'!P$5:P$311,,0,)</f>
        <v>-15346</v>
      </c>
      <c r="H265" s="228"/>
      <c r="I265" s="85">
        <v>8503</v>
      </c>
      <c r="J265" s="85">
        <v>8503</v>
      </c>
      <c r="K265" s="85">
        <v>8503</v>
      </c>
      <c r="L265" s="85">
        <v>8503</v>
      </c>
      <c r="M265" s="85">
        <v>7399</v>
      </c>
      <c r="N265" s="85"/>
      <c r="O265" s="85">
        <v>-15469</v>
      </c>
      <c r="P265" s="85">
        <v>-15469</v>
      </c>
      <c r="Q265" s="85">
        <v>-15469</v>
      </c>
      <c r="R265" s="85">
        <v>-13769</v>
      </c>
      <c r="S265" s="228"/>
      <c r="T265" s="85">
        <v>18628</v>
      </c>
      <c r="U265" s="85">
        <v>18628</v>
      </c>
      <c r="V265" s="85">
        <v>18253</v>
      </c>
      <c r="W265" s="228"/>
      <c r="X265" s="243">
        <v>-3606</v>
      </c>
      <c r="Y265" s="244">
        <v>-3536</v>
      </c>
      <c r="Z265" s="62"/>
      <c r="AA265" s="141">
        <v>7453</v>
      </c>
      <c r="AD265" s="244">
        <f>VLOOKUP(A265,'Change in Proportion Calc'!$A$5:$H$311,8,FALSE)+SUMIF($C$5:$AB$5,2025,C265:AB265)</f>
        <v>-993</v>
      </c>
      <c r="AF265" s="243">
        <f t="shared" ref="AF265:AF322" si="36">IF(SUM(C265:G265)&gt;0,SUM(C265:G265))+IF(SUM(J265:M265)&gt;0,SUM(J265:M265),0)+IF(SUM(U265:V265)&gt;0,SUM(U265:V265),0)+IF(SUM(Y265)&gt;0,SUM(Y265),0)+IF(SUM(P265:R265)&gt;0,SUM(P265:R265),0)</f>
        <v>69789</v>
      </c>
      <c r="AG265" s="243">
        <f t="shared" ref="AG265:AG322" si="37">+IF(SUM(C265:G265)&lt;0,-SUM(C265:G265),0)+IF(SUM(J265:M265)&lt;0,-SUM(J265:M265),0)+IF(SUM(U265:V265)&lt;0,-SUM(U265:V265),0)+IF(SUM(Y265)&lt;0,-SUM(Y265),0)+IF(SUM(P265:R265)&lt;0,-SUM(P265:R265),0)</f>
        <v>129597</v>
      </c>
      <c r="AI265" s="243">
        <f>VLOOKUP(A265,'OPEB Amounts_Report'!$A$10:$G$324,7,FALSE)</f>
        <v>69789</v>
      </c>
      <c r="AJ265" s="244">
        <f t="shared" si="35"/>
        <v>0</v>
      </c>
      <c r="AK265" s="244"/>
      <c r="AL265" s="354">
        <f t="shared" ref="AL265:AL322" si="38">+A265</f>
        <v>6020</v>
      </c>
      <c r="AM265" s="243">
        <f t="shared" ref="AM265:AM322" si="39">+SUMIF($C$5:$AB$5,AM$5,C265:AB265)</f>
        <v>-8376</v>
      </c>
      <c r="AN265" s="243">
        <f t="shared" ref="AN265:AN322" si="40">+SUMIF($C$5:$AB$5,AN$5,C265:AB265)</f>
        <v>-5215</v>
      </c>
      <c r="AO265" s="243">
        <f t="shared" ref="AO265:AO322" si="41">+SUMIF($C$5:$AB$5,AO$5,C265:AB265)</f>
        <v>-21768</v>
      </c>
      <c r="AP265" s="243">
        <f t="shared" ref="AP265:AP322" si="42">+SUMIF($C$5:$AB$5,AP$5,C265:AB265)</f>
        <v>-9103</v>
      </c>
      <c r="AQ265" s="243">
        <f t="shared" ref="AQ265:AQ322" si="43">+SUMIF($C$5:$AB$5,AQ$5,C265:AB265)</f>
        <v>-15346</v>
      </c>
    </row>
    <row r="266" spans="1:43">
      <c r="A266" s="59">
        <v>2394</v>
      </c>
      <c r="B266" s="63" t="s">
        <v>249</v>
      </c>
      <c r="C266" s="85">
        <f>_xlfn.XLOOKUP($A266,'Change in Proportion Calc'!$A$5:$A$311,'Change in Proportion Calc'!L$5:L$311,,0,)</f>
        <v>8226</v>
      </c>
      <c r="D266" s="85">
        <f>_xlfn.XLOOKUP($A266,'Change in Proportion Calc'!$A$5:$A$311,'Change in Proportion Calc'!M$5:M$311,,0,)</f>
        <v>8226</v>
      </c>
      <c r="E266" s="85">
        <f>_xlfn.XLOOKUP($A266,'Change in Proportion Calc'!$A$5:$A$311,'Change in Proportion Calc'!N$5:N$311,,0,)</f>
        <v>8226</v>
      </c>
      <c r="F266" s="85">
        <f>_xlfn.XLOOKUP($A266,'Change in Proportion Calc'!$A$5:$A$311,'Change in Proportion Calc'!O$5:O$311,,0,)</f>
        <v>8226</v>
      </c>
      <c r="G266" s="85">
        <f>_xlfn.XLOOKUP($A266,'Change in Proportion Calc'!$A$5:$A$311,'Change in Proportion Calc'!P$5:P$311,,0,)</f>
        <v>7648</v>
      </c>
      <c r="H266" s="228"/>
      <c r="I266" s="85">
        <v>-6734</v>
      </c>
      <c r="J266" s="85">
        <v>-6734</v>
      </c>
      <c r="K266" s="85">
        <v>-6734</v>
      </c>
      <c r="L266" s="85">
        <v>-6734</v>
      </c>
      <c r="M266" s="85">
        <v>-5860</v>
      </c>
      <c r="N266" s="85"/>
      <c r="O266" s="85">
        <v>23151</v>
      </c>
      <c r="P266" s="85">
        <v>23151</v>
      </c>
      <c r="Q266" s="85">
        <v>23151</v>
      </c>
      <c r="R266" s="85">
        <v>20602</v>
      </c>
      <c r="S266" s="228"/>
      <c r="T266" s="85">
        <v>8342</v>
      </c>
      <c r="U266" s="85">
        <v>8342</v>
      </c>
      <c r="V266" s="85">
        <v>8175</v>
      </c>
      <c r="W266" s="228"/>
      <c r="X266" s="243">
        <v>4207</v>
      </c>
      <c r="Y266" s="244">
        <v>4125</v>
      </c>
      <c r="Z266" s="62"/>
      <c r="AA266" s="141">
        <v>12480</v>
      </c>
      <c r="AD266" s="244">
        <f>VLOOKUP(A266,'Change in Proportion Calc'!$A$5:$H$311,8,FALSE)+SUMIF($C$5:$AB$5,2025,C266:AB266)</f>
        <v>49672</v>
      </c>
      <c r="AF266" s="243">
        <f t="shared" si="36"/>
        <v>128098</v>
      </c>
      <c r="AG266" s="243">
        <f t="shared" si="37"/>
        <v>26062</v>
      </c>
      <c r="AI266" s="243">
        <f>VLOOKUP(A266,'OPEB Amounts_Report'!$A$10:$G$324,7,FALSE)</f>
        <v>128098</v>
      </c>
      <c r="AJ266" s="244">
        <f t="shared" si="35"/>
        <v>0</v>
      </c>
      <c r="AK266" s="244"/>
      <c r="AL266" s="354">
        <f t="shared" si="38"/>
        <v>2394</v>
      </c>
      <c r="AM266" s="243">
        <f t="shared" si="39"/>
        <v>37110</v>
      </c>
      <c r="AN266" s="243">
        <f t="shared" si="40"/>
        <v>32818</v>
      </c>
      <c r="AO266" s="243">
        <f t="shared" si="41"/>
        <v>22094</v>
      </c>
      <c r="AP266" s="243">
        <f t="shared" si="42"/>
        <v>2366</v>
      </c>
      <c r="AQ266" s="243">
        <f t="shared" si="43"/>
        <v>7648</v>
      </c>
    </row>
    <row r="267" spans="1:43">
      <c r="A267" s="61">
        <v>5015</v>
      </c>
      <c r="B267" s="62" t="s">
        <v>250</v>
      </c>
      <c r="C267" s="85">
        <f>_xlfn.XLOOKUP($A267,'Change in Proportion Calc'!$A$5:$A$311,'Change in Proportion Calc'!L$5:L$311,,0,)</f>
        <v>-11896</v>
      </c>
      <c r="D267" s="85">
        <f>_xlfn.XLOOKUP($A267,'Change in Proportion Calc'!$A$5:$A$311,'Change in Proportion Calc'!M$5:M$311,,0,)</f>
        <v>-11896</v>
      </c>
      <c r="E267" s="85">
        <f>_xlfn.XLOOKUP($A267,'Change in Proportion Calc'!$A$5:$A$311,'Change in Proportion Calc'!N$5:N$311,,0,)</f>
        <v>-11896</v>
      </c>
      <c r="F267" s="85">
        <f>_xlfn.XLOOKUP($A267,'Change in Proportion Calc'!$A$5:$A$311,'Change in Proportion Calc'!O$5:O$311,,0,)</f>
        <v>-11896</v>
      </c>
      <c r="G267" s="85">
        <f>_xlfn.XLOOKUP($A267,'Change in Proportion Calc'!$A$5:$A$311,'Change in Proportion Calc'!P$5:P$311,,0,)</f>
        <v>-11061</v>
      </c>
      <c r="H267" s="228"/>
      <c r="I267" s="85">
        <v>-26394</v>
      </c>
      <c r="J267" s="85">
        <v>-26394</v>
      </c>
      <c r="K267" s="85">
        <v>-26394</v>
      </c>
      <c r="L267" s="85">
        <v>-26394</v>
      </c>
      <c r="M267" s="85">
        <v>-22965</v>
      </c>
      <c r="N267" s="85"/>
      <c r="O267" s="85">
        <v>-12672</v>
      </c>
      <c r="P267" s="85">
        <v>-12672</v>
      </c>
      <c r="Q267" s="85">
        <v>-12672</v>
      </c>
      <c r="R267" s="85">
        <v>-11278</v>
      </c>
      <c r="S267" s="228"/>
      <c r="T267" s="85">
        <v>22353</v>
      </c>
      <c r="U267" s="85">
        <v>22353</v>
      </c>
      <c r="V267" s="85">
        <v>21906</v>
      </c>
      <c r="W267" s="228"/>
      <c r="X267" s="243">
        <v>12022</v>
      </c>
      <c r="Y267" s="244">
        <v>11780</v>
      </c>
      <c r="Z267" s="62"/>
      <c r="AA267" s="141">
        <v>7515</v>
      </c>
      <c r="AD267" s="244">
        <f>VLOOKUP(A267,'Change in Proportion Calc'!$A$5:$H$311,8,FALSE)+SUMIF($C$5:$AB$5,2025,C267:AB267)</f>
        <v>-9072</v>
      </c>
      <c r="AF267" s="243">
        <f t="shared" si="36"/>
        <v>56039</v>
      </c>
      <c r="AG267" s="243">
        <f t="shared" si="37"/>
        <v>197414</v>
      </c>
      <c r="AI267" s="243">
        <f>VLOOKUP(A267,'OPEB Amounts_Report'!$A$10:$G$324,7,FALSE)</f>
        <v>56039</v>
      </c>
      <c r="AJ267" s="244">
        <f t="shared" ref="AJ267:AJ322" si="44">+AF267-AI267</f>
        <v>0</v>
      </c>
      <c r="AK267" s="244"/>
      <c r="AL267" s="354">
        <f t="shared" si="38"/>
        <v>5015</v>
      </c>
      <c r="AM267" s="243">
        <f t="shared" si="39"/>
        <v>-16829</v>
      </c>
      <c r="AN267" s="243">
        <f t="shared" si="40"/>
        <v>-29056</v>
      </c>
      <c r="AO267" s="243">
        <f t="shared" si="41"/>
        <v>-49568</v>
      </c>
      <c r="AP267" s="243">
        <f t="shared" si="42"/>
        <v>-34861</v>
      </c>
      <c r="AQ267" s="243">
        <f t="shared" si="43"/>
        <v>-11061</v>
      </c>
    </row>
    <row r="268" spans="1:43">
      <c r="A268" s="59">
        <v>29408</v>
      </c>
      <c r="B268" s="63" t="s">
        <v>251</v>
      </c>
      <c r="C268" s="85">
        <f>_xlfn.XLOOKUP($A268,'Change in Proportion Calc'!$A$5:$A$311,'Change in Proportion Calc'!L$5:L$311,,0,)</f>
        <v>6767</v>
      </c>
      <c r="D268" s="85">
        <f>_xlfn.XLOOKUP($A268,'Change in Proportion Calc'!$A$5:$A$311,'Change in Proportion Calc'!M$5:M$311,,0,)</f>
        <v>6767</v>
      </c>
      <c r="E268" s="85">
        <f>_xlfn.XLOOKUP($A268,'Change in Proportion Calc'!$A$5:$A$311,'Change in Proportion Calc'!N$5:N$311,,0,)</f>
        <v>6767</v>
      </c>
      <c r="F268" s="85">
        <f>_xlfn.XLOOKUP($A268,'Change in Proportion Calc'!$A$5:$A$311,'Change in Proportion Calc'!O$5:O$311,,0,)</f>
        <v>6767</v>
      </c>
      <c r="G268" s="85">
        <f>_xlfn.XLOOKUP($A268,'Change in Proportion Calc'!$A$5:$A$311,'Change in Proportion Calc'!P$5:P$311,,0,)</f>
        <v>6291</v>
      </c>
      <c r="H268" s="228"/>
      <c r="I268" s="85">
        <v>13763</v>
      </c>
      <c r="J268" s="85">
        <v>13763</v>
      </c>
      <c r="K268" s="85">
        <v>13763</v>
      </c>
      <c r="L268" s="85">
        <v>13763</v>
      </c>
      <c r="M268" s="85">
        <v>11976</v>
      </c>
      <c r="N268" s="85"/>
      <c r="O268" s="85">
        <v>-19588</v>
      </c>
      <c r="P268" s="85">
        <v>-19588</v>
      </c>
      <c r="Q268" s="85">
        <v>-19588</v>
      </c>
      <c r="R268" s="85">
        <v>-17432</v>
      </c>
      <c r="S268" s="228"/>
      <c r="T268" s="85">
        <v>40171</v>
      </c>
      <c r="U268" s="85">
        <v>40171</v>
      </c>
      <c r="V268" s="85">
        <v>39366</v>
      </c>
      <c r="W268" s="228"/>
      <c r="X268" s="243">
        <v>25246</v>
      </c>
      <c r="Y268" s="244">
        <v>24739</v>
      </c>
      <c r="Z268" s="62"/>
      <c r="AA268" s="141">
        <v>12977</v>
      </c>
      <c r="AD268" s="244">
        <f>VLOOKUP(A268,'Change in Proportion Calc'!$A$5:$H$311,8,FALSE)+SUMIF($C$5:$AB$5,2025,C268:AB268)</f>
        <v>79336</v>
      </c>
      <c r="AF268" s="243">
        <f t="shared" si="36"/>
        <v>190900</v>
      </c>
      <c r="AG268" s="243">
        <f t="shared" si="37"/>
        <v>56608</v>
      </c>
      <c r="AI268" s="243">
        <f>VLOOKUP(A268,'OPEB Amounts_Report'!$A$10:$G$324,7,FALSE)</f>
        <v>190900</v>
      </c>
      <c r="AJ268" s="244">
        <f t="shared" si="44"/>
        <v>0</v>
      </c>
      <c r="AK268" s="244"/>
      <c r="AL268" s="354">
        <f t="shared" si="38"/>
        <v>29408</v>
      </c>
      <c r="AM268" s="243">
        <f t="shared" si="39"/>
        <v>65852</v>
      </c>
      <c r="AN268" s="243">
        <f t="shared" si="40"/>
        <v>40308</v>
      </c>
      <c r="AO268" s="243">
        <f t="shared" si="41"/>
        <v>3098</v>
      </c>
      <c r="AP268" s="243">
        <f t="shared" si="42"/>
        <v>18743</v>
      </c>
      <c r="AQ268" s="243">
        <f t="shared" si="43"/>
        <v>6291</v>
      </c>
    </row>
    <row r="269" spans="1:43">
      <c r="A269" s="61">
        <v>2413</v>
      </c>
      <c r="B269" s="62" t="s">
        <v>252</v>
      </c>
      <c r="C269" s="85">
        <f>_xlfn.XLOOKUP($A269,'Change in Proportion Calc'!$A$5:$A$311,'Change in Proportion Calc'!L$5:L$311,,0,)</f>
        <v>-23927</v>
      </c>
      <c r="D269" s="85">
        <f>_xlfn.XLOOKUP($A269,'Change in Proportion Calc'!$A$5:$A$311,'Change in Proportion Calc'!M$5:M$311,,0,)</f>
        <v>-23927</v>
      </c>
      <c r="E269" s="85">
        <f>_xlfn.XLOOKUP($A269,'Change in Proportion Calc'!$A$5:$A$311,'Change in Proportion Calc'!N$5:N$311,,0,)</f>
        <v>-23927</v>
      </c>
      <c r="F269" s="85">
        <f>_xlfn.XLOOKUP($A269,'Change in Proportion Calc'!$A$5:$A$311,'Change in Proportion Calc'!O$5:O$311,,0,)</f>
        <v>-23927</v>
      </c>
      <c r="G269" s="85">
        <f>_xlfn.XLOOKUP($A269,'Change in Proportion Calc'!$A$5:$A$311,'Change in Proportion Calc'!P$5:P$311,,0,)</f>
        <v>-22250</v>
      </c>
      <c r="H269" s="228"/>
      <c r="I269" s="85">
        <v>18745</v>
      </c>
      <c r="J269" s="85">
        <v>18745</v>
      </c>
      <c r="K269" s="85">
        <v>18745</v>
      </c>
      <c r="L269" s="85">
        <v>18745</v>
      </c>
      <c r="M269" s="85">
        <v>16306</v>
      </c>
      <c r="N269" s="85"/>
      <c r="O269" s="85">
        <v>-21283</v>
      </c>
      <c r="P269" s="85">
        <v>-21283</v>
      </c>
      <c r="Q269" s="85">
        <v>-21283</v>
      </c>
      <c r="R269" s="85">
        <v>-18943</v>
      </c>
      <c r="S269" s="228"/>
      <c r="T269" s="85">
        <v>-25188</v>
      </c>
      <c r="U269" s="85">
        <v>-25188</v>
      </c>
      <c r="V269" s="85">
        <v>-24683</v>
      </c>
      <c r="W269" s="228"/>
      <c r="X269" s="243">
        <v>-515</v>
      </c>
      <c r="Y269" s="244">
        <v>-506</v>
      </c>
      <c r="Z269" s="62"/>
      <c r="AA269" s="141">
        <v>-3042</v>
      </c>
      <c r="AD269" s="244">
        <f>VLOOKUP(A269,'Change in Proportion Calc'!$A$5:$H$311,8,FALSE)+SUMIF($C$5:$AB$5,2025,C269:AB269)</f>
        <v>-55210</v>
      </c>
      <c r="AF269" s="243">
        <f t="shared" si="36"/>
        <v>72541</v>
      </c>
      <c r="AG269" s="243">
        <f t="shared" si="37"/>
        <v>229844</v>
      </c>
      <c r="AI269" s="243">
        <f>VLOOKUP(A269,'OPEB Amounts_Report'!$A$10:$G$324,7,FALSE)</f>
        <v>72541</v>
      </c>
      <c r="AJ269" s="244">
        <f t="shared" si="44"/>
        <v>0</v>
      </c>
      <c r="AK269" s="244"/>
      <c r="AL269" s="354">
        <f t="shared" si="38"/>
        <v>2413</v>
      </c>
      <c r="AM269" s="243">
        <f t="shared" si="39"/>
        <v>-52159</v>
      </c>
      <c r="AN269" s="243">
        <f t="shared" si="40"/>
        <v>-51148</v>
      </c>
      <c r="AO269" s="243">
        <f t="shared" si="41"/>
        <v>-24125</v>
      </c>
      <c r="AP269" s="243">
        <f t="shared" si="42"/>
        <v>-7621</v>
      </c>
      <c r="AQ269" s="243">
        <f t="shared" si="43"/>
        <v>-22250</v>
      </c>
    </row>
    <row r="270" spans="1:43">
      <c r="A270" s="59">
        <v>1398</v>
      </c>
      <c r="B270" s="63" t="s">
        <v>253</v>
      </c>
      <c r="C270" s="85">
        <f>_xlfn.XLOOKUP($A270,'Change in Proportion Calc'!$A$5:$A$311,'Change in Proportion Calc'!L$5:L$311,,0,)</f>
        <v>35150</v>
      </c>
      <c r="D270" s="85">
        <f>_xlfn.XLOOKUP($A270,'Change in Proportion Calc'!$A$5:$A$311,'Change in Proportion Calc'!M$5:M$311,,0,)</f>
        <v>35150</v>
      </c>
      <c r="E270" s="85">
        <f>_xlfn.XLOOKUP($A270,'Change in Proportion Calc'!$A$5:$A$311,'Change in Proportion Calc'!N$5:N$311,,0,)</f>
        <v>35150</v>
      </c>
      <c r="F270" s="85">
        <f>_xlfn.XLOOKUP($A270,'Change in Proportion Calc'!$A$5:$A$311,'Change in Proportion Calc'!O$5:O$311,,0,)</f>
        <v>35150</v>
      </c>
      <c r="G270" s="85">
        <f>_xlfn.XLOOKUP($A270,'Change in Proportion Calc'!$A$5:$A$311,'Change in Proportion Calc'!P$5:P$311,,0,)</f>
        <v>32690</v>
      </c>
      <c r="H270" s="228"/>
      <c r="I270" s="85">
        <v>40616</v>
      </c>
      <c r="J270" s="85">
        <v>40616</v>
      </c>
      <c r="K270" s="85">
        <v>40616</v>
      </c>
      <c r="L270" s="85">
        <v>40616</v>
      </c>
      <c r="M270" s="85">
        <v>35335</v>
      </c>
      <c r="N270" s="85"/>
      <c r="O270" s="85">
        <v>-32770</v>
      </c>
      <c r="P270" s="85">
        <v>-32770</v>
      </c>
      <c r="Q270" s="85">
        <v>-32770</v>
      </c>
      <c r="R270" s="85">
        <v>-29167</v>
      </c>
      <c r="S270" s="228"/>
      <c r="T270" s="85">
        <v>-6560</v>
      </c>
      <c r="U270" s="85">
        <v>-6560</v>
      </c>
      <c r="V270" s="85">
        <v>-6430</v>
      </c>
      <c r="W270" s="228"/>
      <c r="X270" s="243">
        <v>17775</v>
      </c>
      <c r="Y270" s="244">
        <v>17419</v>
      </c>
      <c r="Z270" s="62"/>
      <c r="AA270" s="141">
        <v>6769</v>
      </c>
      <c r="AD270" s="244">
        <f>VLOOKUP(A270,'Change in Proportion Calc'!$A$5:$H$311,8,FALSE)+SUMIF($C$5:$AB$5,2025,C270:AB270)</f>
        <v>60980</v>
      </c>
      <c r="AF270" s="243">
        <f t="shared" si="36"/>
        <v>347892</v>
      </c>
      <c r="AG270" s="243">
        <f t="shared" si="37"/>
        <v>107697</v>
      </c>
      <c r="AI270" s="243">
        <f>VLOOKUP(A270,'OPEB Amounts_Report'!$A$10:$G$324,7,FALSE)</f>
        <v>347892</v>
      </c>
      <c r="AJ270" s="244">
        <f t="shared" si="44"/>
        <v>0</v>
      </c>
      <c r="AK270" s="244"/>
      <c r="AL270" s="354">
        <f t="shared" si="38"/>
        <v>1398</v>
      </c>
      <c r="AM270" s="243">
        <f t="shared" si="39"/>
        <v>53855</v>
      </c>
      <c r="AN270" s="243">
        <f t="shared" si="40"/>
        <v>36566</v>
      </c>
      <c r="AO270" s="243">
        <f t="shared" si="41"/>
        <v>46599</v>
      </c>
      <c r="AP270" s="243">
        <f t="shared" si="42"/>
        <v>70485</v>
      </c>
      <c r="AQ270" s="243">
        <f t="shared" si="43"/>
        <v>32690</v>
      </c>
    </row>
    <row r="271" spans="1:43">
      <c r="A271" s="61">
        <v>2366</v>
      </c>
      <c r="B271" s="62" t="s">
        <v>254</v>
      </c>
      <c r="C271" s="85">
        <f>_xlfn.XLOOKUP($A271,'Change in Proportion Calc'!$A$5:$A$311,'Change in Proportion Calc'!L$5:L$311,,0,)</f>
        <v>-10080</v>
      </c>
      <c r="D271" s="85">
        <f>_xlfn.XLOOKUP($A271,'Change in Proportion Calc'!$A$5:$A$311,'Change in Proportion Calc'!M$5:M$311,,0,)</f>
        <v>-10080</v>
      </c>
      <c r="E271" s="85">
        <f>_xlfn.XLOOKUP($A271,'Change in Proportion Calc'!$A$5:$A$311,'Change in Proportion Calc'!N$5:N$311,,0,)</f>
        <v>-10080</v>
      </c>
      <c r="F271" s="85">
        <f>_xlfn.XLOOKUP($A271,'Change in Proportion Calc'!$A$5:$A$311,'Change in Proportion Calc'!O$5:O$311,,0,)</f>
        <v>-10080</v>
      </c>
      <c r="G271" s="85">
        <f>_xlfn.XLOOKUP($A271,'Change in Proportion Calc'!$A$5:$A$311,'Change in Proportion Calc'!P$5:P$311,,0,)</f>
        <v>-9372</v>
      </c>
      <c r="H271" s="228"/>
      <c r="I271" s="85">
        <v>-1510</v>
      </c>
      <c r="J271" s="85">
        <v>-1510</v>
      </c>
      <c r="K271" s="85">
        <v>-1510</v>
      </c>
      <c r="L271" s="85">
        <v>-1510</v>
      </c>
      <c r="M271" s="85">
        <v>-1316</v>
      </c>
      <c r="N271" s="85"/>
      <c r="O271" s="85">
        <v>-30412</v>
      </c>
      <c r="P271" s="85">
        <v>-30412</v>
      </c>
      <c r="Q271" s="85">
        <v>-30412</v>
      </c>
      <c r="R271" s="85">
        <v>-27067</v>
      </c>
      <c r="S271" s="228"/>
      <c r="T271" s="85">
        <v>6641</v>
      </c>
      <c r="U271" s="85">
        <v>6641</v>
      </c>
      <c r="V271" s="85">
        <v>6509</v>
      </c>
      <c r="W271" s="228"/>
      <c r="X271" s="243">
        <v>-15542</v>
      </c>
      <c r="Y271" s="244">
        <v>-15233</v>
      </c>
      <c r="Z271" s="62"/>
      <c r="AA271" s="141">
        <v>-4348</v>
      </c>
      <c r="AD271" s="244">
        <f>VLOOKUP(A271,'Change in Proportion Calc'!$A$5:$H$311,8,FALSE)+SUMIF($C$5:$AB$5,2025,C271:AB271)</f>
        <v>-55251</v>
      </c>
      <c r="AF271" s="243">
        <f t="shared" si="36"/>
        <v>13150</v>
      </c>
      <c r="AG271" s="243">
        <f t="shared" si="37"/>
        <v>158662</v>
      </c>
      <c r="AI271" s="243">
        <f>VLOOKUP(A271,'OPEB Amounts_Report'!$A$10:$G$324,7,FALSE)</f>
        <v>13150</v>
      </c>
      <c r="AJ271" s="244">
        <f t="shared" si="44"/>
        <v>0</v>
      </c>
      <c r="AK271" s="244"/>
      <c r="AL271" s="354">
        <f t="shared" si="38"/>
        <v>2366</v>
      </c>
      <c r="AM271" s="243">
        <f t="shared" si="39"/>
        <v>-50594</v>
      </c>
      <c r="AN271" s="243">
        <f t="shared" si="40"/>
        <v>-35493</v>
      </c>
      <c r="AO271" s="243">
        <f t="shared" si="41"/>
        <v>-38657</v>
      </c>
      <c r="AP271" s="243">
        <f t="shared" si="42"/>
        <v>-11396</v>
      </c>
      <c r="AQ271" s="243">
        <f t="shared" si="43"/>
        <v>-9372</v>
      </c>
    </row>
    <row r="272" spans="1:43">
      <c r="A272" s="59">
        <v>7421</v>
      </c>
      <c r="B272" s="63" t="s">
        <v>255</v>
      </c>
      <c r="C272" s="85">
        <f>_xlfn.XLOOKUP($A272,'Change in Proportion Calc'!$A$5:$A$311,'Change in Proportion Calc'!L$5:L$311,,0,)</f>
        <v>1152</v>
      </c>
      <c r="D272" s="85">
        <f>_xlfn.XLOOKUP($A272,'Change in Proportion Calc'!$A$5:$A$311,'Change in Proportion Calc'!M$5:M$311,,0,)</f>
        <v>1152</v>
      </c>
      <c r="E272" s="85">
        <f>_xlfn.XLOOKUP($A272,'Change in Proportion Calc'!$A$5:$A$311,'Change in Proportion Calc'!N$5:N$311,,0,)</f>
        <v>1152</v>
      </c>
      <c r="F272" s="85">
        <f>_xlfn.XLOOKUP($A272,'Change in Proportion Calc'!$A$5:$A$311,'Change in Proportion Calc'!O$5:O$311,,0,)</f>
        <v>1152</v>
      </c>
      <c r="G272" s="85">
        <f>_xlfn.XLOOKUP($A272,'Change in Proportion Calc'!$A$5:$A$311,'Change in Proportion Calc'!P$5:P$311,,0,)</f>
        <v>1072</v>
      </c>
      <c r="H272" s="228"/>
      <c r="I272" s="85">
        <v>-28993</v>
      </c>
      <c r="J272" s="85">
        <v>-28993</v>
      </c>
      <c r="K272" s="85">
        <v>-28993</v>
      </c>
      <c r="L272" s="85">
        <v>-28993</v>
      </c>
      <c r="M272" s="85">
        <v>-25224</v>
      </c>
      <c r="N272" s="85"/>
      <c r="O272" s="85">
        <v>17510</v>
      </c>
      <c r="P272" s="85">
        <v>17510</v>
      </c>
      <c r="Q272" s="85">
        <v>17510</v>
      </c>
      <c r="R272" s="85">
        <v>15584</v>
      </c>
      <c r="S272" s="228"/>
      <c r="T272" s="85">
        <v>3240</v>
      </c>
      <c r="U272" s="85">
        <v>3240</v>
      </c>
      <c r="V272" s="85">
        <v>3173</v>
      </c>
      <c r="W272" s="228"/>
      <c r="X272" s="243">
        <v>-50319</v>
      </c>
      <c r="Y272" s="244">
        <v>-49314</v>
      </c>
      <c r="Z272" s="62"/>
      <c r="AA272" s="141">
        <v>13288</v>
      </c>
      <c r="AD272" s="244">
        <f>VLOOKUP(A272,'Change in Proportion Calc'!$A$5:$H$311,8,FALSE)+SUMIF($C$5:$AB$5,2025,C272:AB272)</f>
        <v>-44122</v>
      </c>
      <c r="AF272" s="243">
        <f t="shared" si="36"/>
        <v>62697</v>
      </c>
      <c r="AG272" s="243">
        <f t="shared" si="37"/>
        <v>161517</v>
      </c>
      <c r="AI272" s="243">
        <f>VLOOKUP(A272,'OPEB Amounts_Report'!$A$10:$G$324,7,FALSE)</f>
        <v>62697</v>
      </c>
      <c r="AJ272" s="244">
        <f t="shared" si="44"/>
        <v>0</v>
      </c>
      <c r="AK272" s="244"/>
      <c r="AL272" s="354">
        <f t="shared" si="38"/>
        <v>7421</v>
      </c>
      <c r="AM272" s="243">
        <f t="shared" si="39"/>
        <v>-56405</v>
      </c>
      <c r="AN272" s="243">
        <f t="shared" si="40"/>
        <v>-7158</v>
      </c>
      <c r="AO272" s="243">
        <f t="shared" si="41"/>
        <v>-12257</v>
      </c>
      <c r="AP272" s="243">
        <f t="shared" si="42"/>
        <v>-24072</v>
      </c>
      <c r="AQ272" s="243">
        <f t="shared" si="43"/>
        <v>1072</v>
      </c>
    </row>
    <row r="273" spans="1:43" s="191" customFormat="1">
      <c r="A273" s="59">
        <v>1425</v>
      </c>
      <c r="B273" s="63" t="s">
        <v>450</v>
      </c>
      <c r="C273" s="85">
        <f>_xlfn.XLOOKUP($A273,'Change in Proportion Calc'!$A$5:$A$311,'Change in Proportion Calc'!L$5:L$311,,0,)</f>
        <v>83452</v>
      </c>
      <c r="D273" s="85">
        <f>_xlfn.XLOOKUP($A273,'Change in Proportion Calc'!$A$5:$A$311,'Change in Proportion Calc'!M$5:M$311,,0,)</f>
        <v>83452</v>
      </c>
      <c r="E273" s="85">
        <f>_xlfn.XLOOKUP($A273,'Change in Proportion Calc'!$A$5:$A$311,'Change in Proportion Calc'!N$5:N$311,,0,)</f>
        <v>83452</v>
      </c>
      <c r="F273" s="85">
        <f>_xlfn.XLOOKUP($A273,'Change in Proportion Calc'!$A$5:$A$311,'Change in Proportion Calc'!O$5:O$311,,0,)</f>
        <v>83452</v>
      </c>
      <c r="G273" s="85">
        <f>_xlfn.XLOOKUP($A273,'Change in Proportion Calc'!$A$5:$A$311,'Change in Proportion Calc'!P$5:P$311,,0,)</f>
        <v>77613</v>
      </c>
      <c r="H273" s="228"/>
      <c r="I273" s="85">
        <v>101063</v>
      </c>
      <c r="J273" s="85">
        <v>101063</v>
      </c>
      <c r="K273" s="85">
        <v>101063</v>
      </c>
      <c r="L273" s="85">
        <v>101063</v>
      </c>
      <c r="M273" s="85">
        <v>87926</v>
      </c>
      <c r="N273" s="85"/>
      <c r="O273" s="85">
        <v>8919</v>
      </c>
      <c r="P273" s="85">
        <v>8919</v>
      </c>
      <c r="Q273" s="85">
        <v>8919</v>
      </c>
      <c r="R273" s="85">
        <v>7936</v>
      </c>
      <c r="S273" s="228"/>
      <c r="T273" s="85">
        <v>0</v>
      </c>
      <c r="U273" s="85">
        <v>0</v>
      </c>
      <c r="V273" s="85">
        <v>0</v>
      </c>
      <c r="W273" s="228"/>
      <c r="X273" s="243">
        <v>0</v>
      </c>
      <c r="Y273" s="244">
        <v>0</v>
      </c>
      <c r="Z273" s="228"/>
      <c r="AA273" s="244">
        <v>0</v>
      </c>
      <c r="AD273" s="244">
        <f>VLOOKUP(A273,'Change in Proportion Calc'!$A$5:$H$311,8,FALSE)+SUMIF($C$5:$AB$5,2025,C273:AB273)</f>
        <v>193434</v>
      </c>
      <c r="AF273" s="243">
        <f t="shared" si="36"/>
        <v>828310</v>
      </c>
      <c r="AG273" s="243">
        <f t="shared" si="37"/>
        <v>0</v>
      </c>
      <c r="AI273" s="243">
        <f>VLOOKUP(A273,'OPEB Amounts_Report'!$A$10:$G$324,7,FALSE)</f>
        <v>828310</v>
      </c>
      <c r="AJ273" s="244">
        <f t="shared" si="44"/>
        <v>0</v>
      </c>
      <c r="AK273" s="244"/>
      <c r="AL273" s="354">
        <f t="shared" si="38"/>
        <v>1425</v>
      </c>
      <c r="AM273" s="243">
        <f t="shared" si="39"/>
        <v>193434</v>
      </c>
      <c r="AN273" s="243">
        <f t="shared" si="40"/>
        <v>193434</v>
      </c>
      <c r="AO273" s="243">
        <f t="shared" si="41"/>
        <v>192451</v>
      </c>
      <c r="AP273" s="243">
        <f t="shared" si="42"/>
        <v>171378</v>
      </c>
      <c r="AQ273" s="243">
        <f t="shared" si="43"/>
        <v>77613</v>
      </c>
    </row>
    <row r="274" spans="1:43">
      <c r="A274" s="61">
        <v>2370</v>
      </c>
      <c r="B274" s="62" t="s">
        <v>256</v>
      </c>
      <c r="C274" s="85">
        <f>_xlfn.XLOOKUP($A274,'Change in Proportion Calc'!$A$5:$A$311,'Change in Proportion Calc'!L$5:L$311,,0,)</f>
        <v>-13855</v>
      </c>
      <c r="D274" s="85">
        <f>_xlfn.XLOOKUP($A274,'Change in Proportion Calc'!$A$5:$A$311,'Change in Proportion Calc'!M$5:M$311,,0,)</f>
        <v>-13855</v>
      </c>
      <c r="E274" s="85">
        <f>_xlfn.XLOOKUP($A274,'Change in Proportion Calc'!$A$5:$A$311,'Change in Proportion Calc'!N$5:N$311,,0,)</f>
        <v>-13855</v>
      </c>
      <c r="F274" s="85">
        <f>_xlfn.XLOOKUP($A274,'Change in Proportion Calc'!$A$5:$A$311,'Change in Proportion Calc'!O$5:O$311,,0,)</f>
        <v>-13855</v>
      </c>
      <c r="G274" s="85">
        <f>_xlfn.XLOOKUP($A274,'Change in Proportion Calc'!$A$5:$A$311,'Change in Proportion Calc'!P$5:P$311,,0,)</f>
        <v>-12886</v>
      </c>
      <c r="H274" s="228"/>
      <c r="I274" s="85">
        <v>-19758</v>
      </c>
      <c r="J274" s="85">
        <v>-19758</v>
      </c>
      <c r="K274" s="85">
        <v>-19758</v>
      </c>
      <c r="L274" s="85">
        <v>-19758</v>
      </c>
      <c r="M274" s="85">
        <v>-17189</v>
      </c>
      <c r="N274" s="85"/>
      <c r="O274" s="85">
        <v>-34298</v>
      </c>
      <c r="P274" s="85">
        <v>-34298</v>
      </c>
      <c r="Q274" s="85">
        <v>-34298</v>
      </c>
      <c r="R274" s="85">
        <v>-30523</v>
      </c>
      <c r="S274" s="228"/>
      <c r="T274" s="85">
        <v>14578</v>
      </c>
      <c r="U274" s="85">
        <v>14578</v>
      </c>
      <c r="V274" s="85">
        <v>14287</v>
      </c>
      <c r="W274" s="228"/>
      <c r="X274" s="243">
        <v>17861</v>
      </c>
      <c r="Y274" s="244">
        <v>17502</v>
      </c>
      <c r="Z274" s="62"/>
      <c r="AA274" s="141">
        <v>9749</v>
      </c>
      <c r="AD274" s="244">
        <f>VLOOKUP(A274,'Change in Proportion Calc'!$A$5:$H$311,8,FALSE)+SUMIF($C$5:$AB$5,2025,C274:AB274)</f>
        <v>-25723</v>
      </c>
      <c r="AF274" s="243">
        <f t="shared" si="36"/>
        <v>46367</v>
      </c>
      <c r="AG274" s="243">
        <f t="shared" si="37"/>
        <v>243888</v>
      </c>
      <c r="AI274" s="243">
        <f>VLOOKUP(A274,'OPEB Amounts_Report'!$A$10:$G$324,7,FALSE)</f>
        <v>46367</v>
      </c>
      <c r="AJ274" s="244">
        <f t="shared" si="44"/>
        <v>0</v>
      </c>
      <c r="AK274" s="244"/>
      <c r="AL274" s="354">
        <f t="shared" si="38"/>
        <v>2370</v>
      </c>
      <c r="AM274" s="243">
        <f t="shared" si="39"/>
        <v>-35831</v>
      </c>
      <c r="AN274" s="243">
        <f t="shared" si="40"/>
        <v>-53624</v>
      </c>
      <c r="AO274" s="243">
        <f t="shared" si="41"/>
        <v>-64136</v>
      </c>
      <c r="AP274" s="243">
        <f t="shared" si="42"/>
        <v>-31044</v>
      </c>
      <c r="AQ274" s="243">
        <f t="shared" si="43"/>
        <v>-12886</v>
      </c>
    </row>
    <row r="275" spans="1:43">
      <c r="A275" s="59">
        <v>32094</v>
      </c>
      <c r="B275" s="63" t="s">
        <v>257</v>
      </c>
      <c r="C275" s="85">
        <f>_xlfn.XLOOKUP($A275,'Change in Proportion Calc'!$A$5:$A$311,'Change in Proportion Calc'!L$5:L$311,,0,)</f>
        <v>-21855</v>
      </c>
      <c r="D275" s="85">
        <f>_xlfn.XLOOKUP($A275,'Change in Proportion Calc'!$A$5:$A$311,'Change in Proportion Calc'!M$5:M$311,,0,)</f>
        <v>-21855</v>
      </c>
      <c r="E275" s="85">
        <f>_xlfn.XLOOKUP($A275,'Change in Proportion Calc'!$A$5:$A$311,'Change in Proportion Calc'!N$5:N$311,,0,)</f>
        <v>-21855</v>
      </c>
      <c r="F275" s="85">
        <f>_xlfn.XLOOKUP($A275,'Change in Proportion Calc'!$A$5:$A$311,'Change in Proportion Calc'!O$5:O$311,,0,)</f>
        <v>-21855</v>
      </c>
      <c r="G275" s="85">
        <f>_xlfn.XLOOKUP($A275,'Change in Proportion Calc'!$A$5:$A$311,'Change in Proportion Calc'!P$5:P$311,,0,)</f>
        <v>-20327</v>
      </c>
      <c r="H275" s="228"/>
      <c r="I275" s="85">
        <v>10449</v>
      </c>
      <c r="J275" s="85">
        <v>10449</v>
      </c>
      <c r="K275" s="85">
        <v>10449</v>
      </c>
      <c r="L275" s="85">
        <v>10449</v>
      </c>
      <c r="M275" s="85">
        <v>9093</v>
      </c>
      <c r="N275" s="85"/>
      <c r="O275" s="85">
        <v>7909</v>
      </c>
      <c r="P275" s="85">
        <v>7909</v>
      </c>
      <c r="Q275" s="85">
        <v>7909</v>
      </c>
      <c r="R275" s="85">
        <v>7038</v>
      </c>
      <c r="S275" s="228"/>
      <c r="T275" s="85">
        <v>8018</v>
      </c>
      <c r="U275" s="85">
        <v>8018</v>
      </c>
      <c r="V275" s="85">
        <v>7857</v>
      </c>
      <c r="W275" s="228"/>
      <c r="X275" s="243">
        <v>11678</v>
      </c>
      <c r="Y275" s="244">
        <v>11446</v>
      </c>
      <c r="Z275" s="62"/>
      <c r="AA275" s="141">
        <v>-3167</v>
      </c>
      <c r="AD275" s="244">
        <f>VLOOKUP(A275,'Change in Proportion Calc'!$A$5:$H$311,8,FALSE)+SUMIF($C$5:$AB$5,2025,C275:AB275)</f>
        <v>13032</v>
      </c>
      <c r="AF275" s="243">
        <f t="shared" si="36"/>
        <v>90617</v>
      </c>
      <c r="AG275" s="243">
        <f t="shared" si="37"/>
        <v>107747</v>
      </c>
      <c r="AI275" s="243">
        <f>VLOOKUP(A275,'OPEB Amounts_Report'!$A$10:$G$324,7,FALSE)</f>
        <v>90617</v>
      </c>
      <c r="AJ275" s="244">
        <f t="shared" si="44"/>
        <v>0</v>
      </c>
      <c r="AK275" s="244"/>
      <c r="AL275" s="354">
        <f t="shared" si="38"/>
        <v>32094</v>
      </c>
      <c r="AM275" s="243">
        <f t="shared" si="39"/>
        <v>15967</v>
      </c>
      <c r="AN275" s="243">
        <f t="shared" si="40"/>
        <v>4360</v>
      </c>
      <c r="AO275" s="243">
        <f t="shared" si="41"/>
        <v>-4368</v>
      </c>
      <c r="AP275" s="243">
        <f t="shared" si="42"/>
        <v>-12762</v>
      </c>
      <c r="AQ275" s="243">
        <f t="shared" si="43"/>
        <v>-20327</v>
      </c>
    </row>
    <row r="276" spans="1:43">
      <c r="A276" s="61">
        <v>2790</v>
      </c>
      <c r="B276" s="62" t="s">
        <v>258</v>
      </c>
      <c r="C276" s="85">
        <f>_xlfn.XLOOKUP($A276,'Change in Proportion Calc'!$A$5:$A$311,'Change in Proportion Calc'!L$5:L$311,,0,)</f>
        <v>-1486</v>
      </c>
      <c r="D276" s="85">
        <f>_xlfn.XLOOKUP($A276,'Change in Proportion Calc'!$A$5:$A$311,'Change in Proportion Calc'!M$5:M$311,,0,)</f>
        <v>-1486</v>
      </c>
      <c r="E276" s="85">
        <f>_xlfn.XLOOKUP($A276,'Change in Proportion Calc'!$A$5:$A$311,'Change in Proportion Calc'!N$5:N$311,,0,)</f>
        <v>-1486</v>
      </c>
      <c r="F276" s="85">
        <f>_xlfn.XLOOKUP($A276,'Change in Proportion Calc'!$A$5:$A$311,'Change in Proportion Calc'!O$5:O$311,,0,)</f>
        <v>-1486</v>
      </c>
      <c r="G276" s="85">
        <f>_xlfn.XLOOKUP($A276,'Change in Proportion Calc'!$A$5:$A$311,'Change in Proportion Calc'!P$5:P$311,,0,)</f>
        <v>-1380</v>
      </c>
      <c r="H276" s="228"/>
      <c r="I276" s="85">
        <v>-2505</v>
      </c>
      <c r="J276" s="85">
        <v>-2505</v>
      </c>
      <c r="K276" s="85">
        <v>-2505</v>
      </c>
      <c r="L276" s="85">
        <v>-2505</v>
      </c>
      <c r="M276" s="85">
        <v>-2178</v>
      </c>
      <c r="N276" s="85"/>
      <c r="O276" s="85">
        <v>-417</v>
      </c>
      <c r="P276" s="85">
        <v>-417</v>
      </c>
      <c r="Q276" s="85">
        <v>-417</v>
      </c>
      <c r="R276" s="85">
        <v>-372</v>
      </c>
      <c r="S276" s="228"/>
      <c r="T276" s="85">
        <v>8261</v>
      </c>
      <c r="U276" s="85">
        <v>8261</v>
      </c>
      <c r="V276" s="85">
        <v>8095</v>
      </c>
      <c r="W276" s="228"/>
      <c r="X276" s="243">
        <v>-12795</v>
      </c>
      <c r="Y276" s="244">
        <v>-12537</v>
      </c>
      <c r="Z276" s="62"/>
      <c r="AA276" s="141">
        <v>560</v>
      </c>
      <c r="AD276" s="244">
        <f>VLOOKUP(A276,'Change in Proportion Calc'!$A$5:$H$311,8,FALSE)+SUMIF($C$5:$AB$5,2025,C276:AB276)</f>
        <v>-8382</v>
      </c>
      <c r="AF276" s="243">
        <f t="shared" si="36"/>
        <v>16356</v>
      </c>
      <c r="AG276" s="243">
        <f t="shared" si="37"/>
        <v>30760</v>
      </c>
      <c r="AI276" s="243">
        <f>VLOOKUP(A276,'OPEB Amounts_Report'!$A$10:$G$324,7,FALSE)</f>
        <v>16356</v>
      </c>
      <c r="AJ276" s="244">
        <f t="shared" si="44"/>
        <v>0</v>
      </c>
      <c r="AK276" s="244"/>
      <c r="AL276" s="354">
        <f t="shared" si="38"/>
        <v>2790</v>
      </c>
      <c r="AM276" s="243">
        <f t="shared" si="39"/>
        <v>-8684</v>
      </c>
      <c r="AN276" s="243">
        <f t="shared" si="40"/>
        <v>3687</v>
      </c>
      <c r="AO276" s="243">
        <f t="shared" si="41"/>
        <v>-4363</v>
      </c>
      <c r="AP276" s="243">
        <f t="shared" si="42"/>
        <v>-3664</v>
      </c>
      <c r="AQ276" s="243">
        <f t="shared" si="43"/>
        <v>-1380</v>
      </c>
    </row>
    <row r="277" spans="1:43">
      <c r="A277" s="59">
        <v>3330</v>
      </c>
      <c r="B277" s="63" t="s">
        <v>259</v>
      </c>
      <c r="C277" s="85">
        <f>_xlfn.XLOOKUP($A277,'Change in Proportion Calc'!$A$5:$A$311,'Change in Proportion Calc'!L$5:L$311,,0,)</f>
        <v>285</v>
      </c>
      <c r="D277" s="85">
        <f>_xlfn.XLOOKUP($A277,'Change in Proportion Calc'!$A$5:$A$311,'Change in Proportion Calc'!M$5:M$311,,0,)</f>
        <v>285</v>
      </c>
      <c r="E277" s="85">
        <f>_xlfn.XLOOKUP($A277,'Change in Proportion Calc'!$A$5:$A$311,'Change in Proportion Calc'!N$5:N$311,,0,)</f>
        <v>285</v>
      </c>
      <c r="F277" s="85">
        <f>_xlfn.XLOOKUP($A277,'Change in Proportion Calc'!$A$5:$A$311,'Change in Proportion Calc'!O$5:O$311,,0,)</f>
        <v>285</v>
      </c>
      <c r="G277" s="85">
        <f>_xlfn.XLOOKUP($A277,'Change in Proportion Calc'!$A$5:$A$311,'Change in Proportion Calc'!P$5:P$311,,0,)</f>
        <v>267</v>
      </c>
      <c r="H277" s="228"/>
      <c r="I277" s="85">
        <v>-46492</v>
      </c>
      <c r="J277" s="85">
        <v>-46492</v>
      </c>
      <c r="K277" s="85">
        <v>-46492</v>
      </c>
      <c r="L277" s="85">
        <v>-46492</v>
      </c>
      <c r="M277" s="85">
        <v>-40450</v>
      </c>
      <c r="N277" s="85"/>
      <c r="O277" s="85">
        <v>12948</v>
      </c>
      <c r="P277" s="85">
        <v>12948</v>
      </c>
      <c r="Q277" s="85">
        <v>12948</v>
      </c>
      <c r="R277" s="85">
        <v>11526</v>
      </c>
      <c r="S277" s="228"/>
      <c r="T277" s="85">
        <v>45597</v>
      </c>
      <c r="U277" s="85">
        <v>45597</v>
      </c>
      <c r="V277" s="85">
        <v>44685</v>
      </c>
      <c r="W277" s="228"/>
      <c r="X277" s="243">
        <v>5582</v>
      </c>
      <c r="Y277" s="244">
        <v>5468</v>
      </c>
      <c r="Z277" s="62"/>
      <c r="AA277" s="141">
        <v>18938</v>
      </c>
      <c r="AD277" s="244">
        <f>VLOOKUP(A277,'Change in Proportion Calc'!$A$5:$H$311,8,FALSE)+SUMIF($C$5:$AB$5,2025,C277:AB277)</f>
        <v>36858</v>
      </c>
      <c r="AF277" s="243">
        <f t="shared" si="36"/>
        <v>134579</v>
      </c>
      <c r="AG277" s="243">
        <f t="shared" si="37"/>
        <v>179926</v>
      </c>
      <c r="AI277" s="243">
        <f>VLOOKUP(A277,'OPEB Amounts_Report'!$A$10:$G$324,7,FALSE)</f>
        <v>134579</v>
      </c>
      <c r="AJ277" s="244">
        <f t="shared" si="44"/>
        <v>0</v>
      </c>
      <c r="AK277" s="244"/>
      <c r="AL277" s="354">
        <f t="shared" si="38"/>
        <v>3330</v>
      </c>
      <c r="AM277" s="243">
        <f t="shared" si="39"/>
        <v>17806</v>
      </c>
      <c r="AN277" s="243">
        <f t="shared" si="40"/>
        <v>11426</v>
      </c>
      <c r="AO277" s="243">
        <f t="shared" si="41"/>
        <v>-34681</v>
      </c>
      <c r="AP277" s="243">
        <f t="shared" si="42"/>
        <v>-40165</v>
      </c>
      <c r="AQ277" s="243">
        <f t="shared" si="43"/>
        <v>267</v>
      </c>
    </row>
    <row r="278" spans="1:43">
      <c r="A278" s="61">
        <v>2080</v>
      </c>
      <c r="B278" s="62" t="s">
        <v>260</v>
      </c>
      <c r="C278" s="85">
        <f>_xlfn.XLOOKUP($A278,'Change in Proportion Calc'!$A$5:$A$311,'Change in Proportion Calc'!L$5:L$311,,0,)</f>
        <v>54800</v>
      </c>
      <c r="D278" s="85">
        <f>_xlfn.XLOOKUP($A278,'Change in Proportion Calc'!$A$5:$A$311,'Change in Proportion Calc'!M$5:M$311,,0,)</f>
        <v>54800</v>
      </c>
      <c r="E278" s="85">
        <f>_xlfn.XLOOKUP($A278,'Change in Proportion Calc'!$A$5:$A$311,'Change in Proportion Calc'!N$5:N$311,,0,)</f>
        <v>54800</v>
      </c>
      <c r="F278" s="85">
        <f>_xlfn.XLOOKUP($A278,'Change in Proportion Calc'!$A$5:$A$311,'Change in Proportion Calc'!O$5:O$311,,0,)</f>
        <v>54800</v>
      </c>
      <c r="G278" s="85">
        <f>_xlfn.XLOOKUP($A278,'Change in Proportion Calc'!$A$5:$A$311,'Change in Proportion Calc'!P$5:P$311,,0,)</f>
        <v>50966</v>
      </c>
      <c r="H278" s="228"/>
      <c r="I278" s="85">
        <v>-61149</v>
      </c>
      <c r="J278" s="85">
        <v>-61149</v>
      </c>
      <c r="K278" s="85">
        <v>-61149</v>
      </c>
      <c r="L278" s="85">
        <v>-61149</v>
      </c>
      <c r="M278" s="85">
        <v>-53202</v>
      </c>
      <c r="N278" s="85"/>
      <c r="O278" s="85">
        <v>-6621</v>
      </c>
      <c r="P278" s="85">
        <v>-6621</v>
      </c>
      <c r="Q278" s="85">
        <v>-6621</v>
      </c>
      <c r="R278" s="85">
        <v>-5892</v>
      </c>
      <c r="S278" s="228"/>
      <c r="T278" s="85">
        <v>-39118</v>
      </c>
      <c r="U278" s="85">
        <v>-39118</v>
      </c>
      <c r="V278" s="85">
        <v>-38335</v>
      </c>
      <c r="W278" s="228"/>
      <c r="X278" s="243">
        <v>26104</v>
      </c>
      <c r="Y278" s="244">
        <v>25583</v>
      </c>
      <c r="Z278" s="62"/>
      <c r="AA278" s="141">
        <v>47873</v>
      </c>
      <c r="AD278" s="244">
        <f>VLOOKUP(A278,'Change in Proportion Calc'!$A$5:$H$311,8,FALSE)+SUMIF($C$5:$AB$5,2025,C278:AB278)</f>
        <v>21889</v>
      </c>
      <c r="AF278" s="243">
        <f t="shared" si="36"/>
        <v>295749</v>
      </c>
      <c r="AG278" s="243">
        <f t="shared" si="37"/>
        <v>333236</v>
      </c>
      <c r="AI278" s="243">
        <f>VLOOKUP(A278,'OPEB Amounts_Report'!$A$10:$G$324,7,FALSE)</f>
        <v>295749</v>
      </c>
      <c r="AJ278" s="244">
        <f t="shared" si="44"/>
        <v>0</v>
      </c>
      <c r="AK278" s="244"/>
      <c r="AL278" s="354">
        <f t="shared" si="38"/>
        <v>2080</v>
      </c>
      <c r="AM278" s="243">
        <f t="shared" si="39"/>
        <v>-26505</v>
      </c>
      <c r="AN278" s="243">
        <f t="shared" si="40"/>
        <v>-51305</v>
      </c>
      <c r="AO278" s="243">
        <f t="shared" si="41"/>
        <v>-12241</v>
      </c>
      <c r="AP278" s="243">
        <f t="shared" si="42"/>
        <v>1598</v>
      </c>
      <c r="AQ278" s="243">
        <f t="shared" si="43"/>
        <v>50966</v>
      </c>
    </row>
    <row r="279" spans="1:43">
      <c r="A279" s="59">
        <v>4290</v>
      </c>
      <c r="B279" s="63" t="s">
        <v>261</v>
      </c>
      <c r="C279" s="85">
        <f>_xlfn.XLOOKUP($A279,'Change in Proportion Calc'!$A$5:$A$311,'Change in Proportion Calc'!L$5:L$311,,0,)</f>
        <v>4341</v>
      </c>
      <c r="D279" s="85">
        <f>_xlfn.XLOOKUP($A279,'Change in Proportion Calc'!$A$5:$A$311,'Change in Proportion Calc'!M$5:M$311,,0,)</f>
        <v>4341</v>
      </c>
      <c r="E279" s="85">
        <f>_xlfn.XLOOKUP($A279,'Change in Proportion Calc'!$A$5:$A$311,'Change in Proportion Calc'!N$5:N$311,,0,)</f>
        <v>4341</v>
      </c>
      <c r="F279" s="85">
        <f>_xlfn.XLOOKUP($A279,'Change in Proportion Calc'!$A$5:$A$311,'Change in Proportion Calc'!O$5:O$311,,0,)</f>
        <v>4341</v>
      </c>
      <c r="G279" s="85">
        <f>_xlfn.XLOOKUP($A279,'Change in Proportion Calc'!$A$5:$A$311,'Change in Proportion Calc'!P$5:P$311,,0,)</f>
        <v>4037</v>
      </c>
      <c r="H279" s="228"/>
      <c r="I279" s="85">
        <v>48063</v>
      </c>
      <c r="J279" s="85">
        <v>48063</v>
      </c>
      <c r="K279" s="85">
        <v>48063</v>
      </c>
      <c r="L279" s="85">
        <v>48063</v>
      </c>
      <c r="M279" s="85">
        <v>41817</v>
      </c>
      <c r="N279" s="85"/>
      <c r="O279" s="85">
        <v>870</v>
      </c>
      <c r="P279" s="85">
        <v>870</v>
      </c>
      <c r="Q279" s="85">
        <v>870</v>
      </c>
      <c r="R279" s="85">
        <v>776</v>
      </c>
      <c r="S279" s="228"/>
      <c r="T279" s="85">
        <v>405</v>
      </c>
      <c r="U279" s="85">
        <v>405</v>
      </c>
      <c r="V279" s="85">
        <v>397</v>
      </c>
      <c r="W279" s="228"/>
      <c r="X279" s="243">
        <v>-2576</v>
      </c>
      <c r="Y279" s="244">
        <v>-2525</v>
      </c>
      <c r="Z279" s="62"/>
      <c r="AA279" s="141">
        <v>23410</v>
      </c>
      <c r="AD279" s="244">
        <f>VLOOKUP(A279,'Change in Proportion Calc'!$A$5:$H$311,8,FALSE)+SUMIF($C$5:$AB$5,2025,C279:AB279)</f>
        <v>74513</v>
      </c>
      <c r="AF279" s="243">
        <f t="shared" si="36"/>
        <v>210725</v>
      </c>
      <c r="AG279" s="243">
        <f t="shared" si="37"/>
        <v>2525</v>
      </c>
      <c r="AI279" s="243">
        <f>VLOOKUP(A279,'OPEB Amounts_Report'!$A$10:$G$324,7,FALSE)</f>
        <v>210725</v>
      </c>
      <c r="AJ279" s="244">
        <f t="shared" si="44"/>
        <v>0</v>
      </c>
      <c r="AK279" s="244"/>
      <c r="AL279" s="354">
        <f t="shared" si="38"/>
        <v>4290</v>
      </c>
      <c r="AM279" s="243">
        <f t="shared" si="39"/>
        <v>51154</v>
      </c>
      <c r="AN279" s="243">
        <f t="shared" si="40"/>
        <v>53671</v>
      </c>
      <c r="AO279" s="243">
        <f t="shared" si="41"/>
        <v>53180</v>
      </c>
      <c r="AP279" s="243">
        <f t="shared" si="42"/>
        <v>46158</v>
      </c>
      <c r="AQ279" s="243">
        <f t="shared" si="43"/>
        <v>4037</v>
      </c>
    </row>
    <row r="280" spans="1:43">
      <c r="A280" s="61">
        <v>2270</v>
      </c>
      <c r="B280" s="62" t="s">
        <v>262</v>
      </c>
      <c r="C280" s="85">
        <f>_xlfn.XLOOKUP($A280,'Change in Proportion Calc'!$A$5:$A$311,'Change in Proportion Calc'!L$5:L$311,,0,)</f>
        <v>-1211</v>
      </c>
      <c r="D280" s="85">
        <f>_xlfn.XLOOKUP($A280,'Change in Proportion Calc'!$A$5:$A$311,'Change in Proportion Calc'!M$5:M$311,,0,)</f>
        <v>-1211</v>
      </c>
      <c r="E280" s="85">
        <f>_xlfn.XLOOKUP($A280,'Change in Proportion Calc'!$A$5:$A$311,'Change in Proportion Calc'!N$5:N$311,,0,)</f>
        <v>-1211</v>
      </c>
      <c r="F280" s="85">
        <f>_xlfn.XLOOKUP($A280,'Change in Proportion Calc'!$A$5:$A$311,'Change in Proportion Calc'!O$5:O$311,,0,)</f>
        <v>-1211</v>
      </c>
      <c r="G280" s="85">
        <f>_xlfn.XLOOKUP($A280,'Change in Proportion Calc'!$A$5:$A$311,'Change in Proportion Calc'!P$5:P$311,,0,)</f>
        <v>-1124</v>
      </c>
      <c r="H280" s="228"/>
      <c r="I280" s="85">
        <v>14</v>
      </c>
      <c r="J280" s="85">
        <v>14</v>
      </c>
      <c r="K280" s="85">
        <v>14</v>
      </c>
      <c r="L280" s="85">
        <v>14</v>
      </c>
      <c r="M280" s="85">
        <v>10</v>
      </c>
      <c r="N280" s="85"/>
      <c r="O280" s="85">
        <v>-1944</v>
      </c>
      <c r="P280" s="85">
        <v>-1944</v>
      </c>
      <c r="Q280" s="85">
        <v>-1944</v>
      </c>
      <c r="R280" s="85">
        <v>-1728</v>
      </c>
      <c r="S280" s="228"/>
      <c r="T280" s="85">
        <v>-4940</v>
      </c>
      <c r="U280" s="85">
        <v>-4940</v>
      </c>
      <c r="V280" s="85">
        <v>-4843</v>
      </c>
      <c r="W280" s="228"/>
      <c r="X280" s="243">
        <v>-5925</v>
      </c>
      <c r="Y280" s="244">
        <v>-5806</v>
      </c>
      <c r="Z280" s="62"/>
      <c r="AA280" s="141">
        <v>808</v>
      </c>
      <c r="AD280" s="244">
        <f>VLOOKUP(A280,'Change in Proportion Calc'!$A$5:$H$311,8,FALSE)+SUMIF($C$5:$AB$5,2025,C280:AB280)</f>
        <v>-13198</v>
      </c>
      <c r="AF280" s="243">
        <f t="shared" si="36"/>
        <v>52</v>
      </c>
      <c r="AG280" s="243">
        <f t="shared" si="37"/>
        <v>27173</v>
      </c>
      <c r="AI280" s="243">
        <f>VLOOKUP(A280,'OPEB Amounts_Report'!$A$10:$G$324,7,FALSE)</f>
        <v>52</v>
      </c>
      <c r="AJ280" s="244">
        <f t="shared" si="44"/>
        <v>0</v>
      </c>
      <c r="AK280" s="244"/>
      <c r="AL280" s="354">
        <f t="shared" si="38"/>
        <v>2270</v>
      </c>
      <c r="AM280" s="243">
        <f t="shared" si="39"/>
        <v>-13887</v>
      </c>
      <c r="AN280" s="243">
        <f t="shared" si="40"/>
        <v>-7984</v>
      </c>
      <c r="AO280" s="243">
        <f t="shared" si="41"/>
        <v>-2925</v>
      </c>
      <c r="AP280" s="243">
        <f t="shared" si="42"/>
        <v>-1201</v>
      </c>
      <c r="AQ280" s="243">
        <f t="shared" si="43"/>
        <v>-1124</v>
      </c>
    </row>
    <row r="281" spans="1:43">
      <c r="A281" s="59">
        <v>2300</v>
      </c>
      <c r="B281" s="63" t="s">
        <v>263</v>
      </c>
      <c r="C281" s="85">
        <f>_xlfn.XLOOKUP($A281,'Change in Proportion Calc'!$A$5:$A$311,'Change in Proportion Calc'!L$5:L$311,,0,)</f>
        <v>24947</v>
      </c>
      <c r="D281" s="85">
        <f>_xlfn.XLOOKUP($A281,'Change in Proportion Calc'!$A$5:$A$311,'Change in Proportion Calc'!M$5:M$311,,0,)</f>
        <v>24947</v>
      </c>
      <c r="E281" s="85">
        <f>_xlfn.XLOOKUP($A281,'Change in Proportion Calc'!$A$5:$A$311,'Change in Proportion Calc'!N$5:N$311,,0,)</f>
        <v>24947</v>
      </c>
      <c r="F281" s="85">
        <f>_xlfn.XLOOKUP($A281,'Change in Proportion Calc'!$A$5:$A$311,'Change in Proportion Calc'!O$5:O$311,,0,)</f>
        <v>24947</v>
      </c>
      <c r="G281" s="85">
        <f>_xlfn.XLOOKUP($A281,'Change in Proportion Calc'!$A$5:$A$311,'Change in Proportion Calc'!P$5:P$311,,0,)</f>
        <v>23200</v>
      </c>
      <c r="H281" s="228"/>
      <c r="I281" s="85">
        <v>12111</v>
      </c>
      <c r="J281" s="85">
        <v>12111</v>
      </c>
      <c r="K281" s="85">
        <v>12111</v>
      </c>
      <c r="L281" s="85">
        <v>12111</v>
      </c>
      <c r="M281" s="85">
        <v>10537</v>
      </c>
      <c r="N281" s="85"/>
      <c r="O281" s="85">
        <v>5175</v>
      </c>
      <c r="P281" s="85">
        <v>5175</v>
      </c>
      <c r="Q281" s="85">
        <v>5175</v>
      </c>
      <c r="R281" s="85">
        <v>4604</v>
      </c>
      <c r="S281" s="228"/>
      <c r="T281" s="85">
        <v>-6236</v>
      </c>
      <c r="U281" s="85">
        <v>-6236</v>
      </c>
      <c r="V281" s="85">
        <v>-6112</v>
      </c>
      <c r="W281" s="228"/>
      <c r="X281" s="243">
        <v>1889</v>
      </c>
      <c r="Y281" s="244">
        <v>1852</v>
      </c>
      <c r="Z281" s="62"/>
      <c r="AA281" s="141">
        <v>-11175</v>
      </c>
      <c r="AD281" s="244">
        <f>VLOOKUP(A281,'Change in Proportion Calc'!$A$5:$H$311,8,FALSE)+SUMIF($C$5:$AB$5,2025,C281:AB281)</f>
        <v>26711</v>
      </c>
      <c r="AF281" s="243">
        <f t="shared" si="36"/>
        <v>186664</v>
      </c>
      <c r="AG281" s="243">
        <f t="shared" si="37"/>
        <v>12348</v>
      </c>
      <c r="AI281" s="243">
        <f>VLOOKUP(A281,'OPEB Amounts_Report'!$A$10:$G$324,7,FALSE)</f>
        <v>186664</v>
      </c>
      <c r="AJ281" s="244">
        <f t="shared" si="44"/>
        <v>0</v>
      </c>
      <c r="AK281" s="244"/>
      <c r="AL281" s="354">
        <f t="shared" si="38"/>
        <v>2300</v>
      </c>
      <c r="AM281" s="243">
        <f t="shared" si="39"/>
        <v>37849</v>
      </c>
      <c r="AN281" s="243">
        <f t="shared" si="40"/>
        <v>36121</v>
      </c>
      <c r="AO281" s="243">
        <f t="shared" si="41"/>
        <v>41662</v>
      </c>
      <c r="AP281" s="243">
        <f t="shared" si="42"/>
        <v>35484</v>
      </c>
      <c r="AQ281" s="243">
        <f t="shared" si="43"/>
        <v>23200</v>
      </c>
    </row>
    <row r="282" spans="1:43">
      <c r="A282" s="61">
        <v>2720</v>
      </c>
      <c r="B282" s="62" t="s">
        <v>264</v>
      </c>
      <c r="C282" s="85">
        <f>_xlfn.XLOOKUP($A282,'Change in Proportion Calc'!$A$5:$A$311,'Change in Proportion Calc'!L$5:L$311,,0,)</f>
        <v>-36310</v>
      </c>
      <c r="D282" s="85">
        <f>_xlfn.XLOOKUP($A282,'Change in Proportion Calc'!$A$5:$A$311,'Change in Proportion Calc'!M$5:M$311,,0,)</f>
        <v>-36310</v>
      </c>
      <c r="E282" s="85">
        <f>_xlfn.XLOOKUP($A282,'Change in Proportion Calc'!$A$5:$A$311,'Change in Proportion Calc'!N$5:N$311,,0,)</f>
        <v>-36310</v>
      </c>
      <c r="F282" s="85">
        <f>_xlfn.XLOOKUP($A282,'Change in Proportion Calc'!$A$5:$A$311,'Change in Proportion Calc'!O$5:O$311,,0,)</f>
        <v>-36310</v>
      </c>
      <c r="G282" s="85">
        <f>_xlfn.XLOOKUP($A282,'Change in Proportion Calc'!$A$5:$A$311,'Change in Proportion Calc'!P$5:P$311,,0,)</f>
        <v>-33767</v>
      </c>
      <c r="H282" s="228"/>
      <c r="I282" s="85">
        <v>-7732</v>
      </c>
      <c r="J282" s="85">
        <v>-7732</v>
      </c>
      <c r="K282" s="85">
        <v>-7732</v>
      </c>
      <c r="L282" s="85">
        <v>-7732</v>
      </c>
      <c r="M282" s="85">
        <v>-6725</v>
      </c>
      <c r="N282" s="85"/>
      <c r="O282" s="85">
        <v>13350</v>
      </c>
      <c r="P282" s="85">
        <v>13350</v>
      </c>
      <c r="Q282" s="85">
        <v>13350</v>
      </c>
      <c r="R282" s="85">
        <v>11881</v>
      </c>
      <c r="S282" s="228"/>
      <c r="T282" s="85">
        <v>17089</v>
      </c>
      <c r="U282" s="85">
        <v>17089</v>
      </c>
      <c r="V282" s="85">
        <v>16746</v>
      </c>
      <c r="W282" s="228"/>
      <c r="X282" s="243">
        <v>-89991</v>
      </c>
      <c r="Y282" s="244">
        <v>-88190</v>
      </c>
      <c r="Z282" s="62"/>
      <c r="AA282" s="141">
        <v>-5090</v>
      </c>
      <c r="AD282" s="244">
        <f>VLOOKUP(A282,'Change in Proportion Calc'!$A$5:$H$311,8,FALSE)+SUMIF($C$5:$AB$5,2025,C282:AB282)</f>
        <v>-108684</v>
      </c>
      <c r="AF282" s="243">
        <f t="shared" si="36"/>
        <v>72416</v>
      </c>
      <c r="AG282" s="243">
        <f t="shared" si="37"/>
        <v>297118</v>
      </c>
      <c r="AI282" s="243">
        <f>VLOOKUP(A282,'OPEB Amounts_Report'!$A$10:$G$324,7,FALSE)</f>
        <v>72416</v>
      </c>
      <c r="AJ282" s="244">
        <f t="shared" si="44"/>
        <v>0</v>
      </c>
      <c r="AK282" s="244"/>
      <c r="AL282" s="354">
        <f t="shared" si="38"/>
        <v>2720</v>
      </c>
      <c r="AM282" s="243">
        <f t="shared" si="39"/>
        <v>-101793</v>
      </c>
      <c r="AN282" s="243">
        <f t="shared" si="40"/>
        <v>-13946</v>
      </c>
      <c r="AO282" s="243">
        <f t="shared" si="41"/>
        <v>-32161</v>
      </c>
      <c r="AP282" s="243">
        <f t="shared" si="42"/>
        <v>-43035</v>
      </c>
      <c r="AQ282" s="243">
        <f t="shared" si="43"/>
        <v>-33767</v>
      </c>
    </row>
    <row r="283" spans="1:43">
      <c r="A283" s="59">
        <v>2750</v>
      </c>
      <c r="B283" s="63" t="s">
        <v>265</v>
      </c>
      <c r="C283" s="85">
        <f>_xlfn.XLOOKUP($A283,'Change in Proportion Calc'!$A$5:$A$311,'Change in Proportion Calc'!L$5:L$311,,0,)</f>
        <v>-12593</v>
      </c>
      <c r="D283" s="85">
        <f>_xlfn.XLOOKUP($A283,'Change in Proportion Calc'!$A$5:$A$311,'Change in Proportion Calc'!M$5:M$311,,0,)</f>
        <v>-12593</v>
      </c>
      <c r="E283" s="85">
        <f>_xlfn.XLOOKUP($A283,'Change in Proportion Calc'!$A$5:$A$311,'Change in Proportion Calc'!N$5:N$311,,0,)</f>
        <v>-12593</v>
      </c>
      <c r="F283" s="85">
        <f>_xlfn.XLOOKUP($A283,'Change in Proportion Calc'!$A$5:$A$311,'Change in Proportion Calc'!O$5:O$311,,0,)</f>
        <v>-12593</v>
      </c>
      <c r="G283" s="85">
        <f>_xlfn.XLOOKUP($A283,'Change in Proportion Calc'!$A$5:$A$311,'Change in Proportion Calc'!P$5:P$311,,0,)</f>
        <v>-11711</v>
      </c>
      <c r="H283" s="228"/>
      <c r="I283" s="85">
        <v>-557</v>
      </c>
      <c r="J283" s="85">
        <v>-557</v>
      </c>
      <c r="K283" s="85">
        <v>-557</v>
      </c>
      <c r="L283" s="85">
        <v>-557</v>
      </c>
      <c r="M283" s="85">
        <v>-487</v>
      </c>
      <c r="N283" s="85"/>
      <c r="O283" s="85">
        <v>10257</v>
      </c>
      <c r="P283" s="85">
        <v>10257</v>
      </c>
      <c r="Q283" s="85">
        <v>10257</v>
      </c>
      <c r="R283" s="85">
        <v>9131</v>
      </c>
      <c r="S283" s="228"/>
      <c r="T283" s="85">
        <v>-6884</v>
      </c>
      <c r="U283" s="85">
        <v>-6884</v>
      </c>
      <c r="V283" s="85">
        <v>-6747</v>
      </c>
      <c r="W283" s="228"/>
      <c r="X283" s="243">
        <v>3692</v>
      </c>
      <c r="Y283" s="244">
        <v>3620</v>
      </c>
      <c r="Z283" s="62"/>
      <c r="AA283" s="141">
        <v>-3540</v>
      </c>
      <c r="AD283" s="244">
        <f>VLOOKUP(A283,'Change in Proportion Calc'!$A$5:$H$311,8,FALSE)+SUMIF($C$5:$AB$5,2025,C283:AB283)</f>
        <v>-9625</v>
      </c>
      <c r="AF283" s="243">
        <f t="shared" si="36"/>
        <v>33265</v>
      </c>
      <c r="AG283" s="243">
        <f t="shared" si="37"/>
        <v>77872</v>
      </c>
      <c r="AI283" s="243">
        <f>VLOOKUP(A283,'OPEB Amounts_Report'!$A$10:$G$324,7,FALSE)</f>
        <v>33265</v>
      </c>
      <c r="AJ283" s="244">
        <f t="shared" si="44"/>
        <v>0</v>
      </c>
      <c r="AK283" s="244"/>
      <c r="AL283" s="354">
        <f t="shared" si="38"/>
        <v>2750</v>
      </c>
      <c r="AM283" s="243">
        <f t="shared" si="39"/>
        <v>-6157</v>
      </c>
      <c r="AN283" s="243">
        <f t="shared" si="40"/>
        <v>-9640</v>
      </c>
      <c r="AO283" s="243">
        <f t="shared" si="41"/>
        <v>-4019</v>
      </c>
      <c r="AP283" s="243">
        <f t="shared" si="42"/>
        <v>-13080</v>
      </c>
      <c r="AQ283" s="243">
        <f t="shared" si="43"/>
        <v>-11711</v>
      </c>
    </row>
    <row r="284" spans="1:43">
      <c r="A284" s="61">
        <v>2770</v>
      </c>
      <c r="B284" s="62" t="s">
        <v>266</v>
      </c>
      <c r="C284" s="85">
        <f>_xlfn.XLOOKUP($A284,'Change in Proportion Calc'!$A$5:$A$311,'Change in Proportion Calc'!L$5:L$311,,0,)</f>
        <v>-3265</v>
      </c>
      <c r="D284" s="85">
        <f>_xlfn.XLOOKUP($A284,'Change in Proportion Calc'!$A$5:$A$311,'Change in Proportion Calc'!M$5:M$311,,0,)</f>
        <v>-3265</v>
      </c>
      <c r="E284" s="85">
        <f>_xlfn.XLOOKUP($A284,'Change in Proportion Calc'!$A$5:$A$311,'Change in Proportion Calc'!N$5:N$311,,0,)</f>
        <v>-3265</v>
      </c>
      <c r="F284" s="85">
        <f>_xlfn.XLOOKUP($A284,'Change in Proportion Calc'!$A$5:$A$311,'Change in Proportion Calc'!O$5:O$311,,0,)</f>
        <v>-3265</v>
      </c>
      <c r="G284" s="85">
        <f>_xlfn.XLOOKUP($A284,'Change in Proportion Calc'!$A$5:$A$311,'Change in Proportion Calc'!P$5:P$311,,0,)</f>
        <v>-3035</v>
      </c>
      <c r="H284" s="228"/>
      <c r="I284" s="85">
        <v>-12627</v>
      </c>
      <c r="J284" s="85">
        <v>-12627</v>
      </c>
      <c r="K284" s="85">
        <v>-12627</v>
      </c>
      <c r="L284" s="85">
        <v>-12627</v>
      </c>
      <c r="M284" s="85">
        <v>-10985</v>
      </c>
      <c r="N284" s="85"/>
      <c r="O284" s="85">
        <v>87335</v>
      </c>
      <c r="P284" s="85">
        <v>87335</v>
      </c>
      <c r="Q284" s="85">
        <v>87335</v>
      </c>
      <c r="R284" s="85">
        <v>77726</v>
      </c>
      <c r="S284" s="228"/>
      <c r="T284" s="85">
        <v>-54749</v>
      </c>
      <c r="U284" s="85">
        <v>-54749</v>
      </c>
      <c r="V284" s="85">
        <v>-53653</v>
      </c>
      <c r="W284" s="228"/>
      <c r="X284" s="243">
        <v>-109311</v>
      </c>
      <c r="Y284" s="244">
        <v>-107127</v>
      </c>
      <c r="Z284" s="62"/>
      <c r="AA284" s="141">
        <v>-46695</v>
      </c>
      <c r="AD284" s="244">
        <f>VLOOKUP(A284,'Change in Proportion Calc'!$A$5:$H$311,8,FALSE)+SUMIF($C$5:$AB$5,2025,C284:AB284)</f>
        <v>-139312</v>
      </c>
      <c r="AF284" s="243">
        <f t="shared" si="36"/>
        <v>252396</v>
      </c>
      <c r="AG284" s="243">
        <f t="shared" si="37"/>
        <v>280490</v>
      </c>
      <c r="AI284" s="243">
        <f>VLOOKUP(A284,'OPEB Amounts_Report'!$A$10:$G$324,7,FALSE)</f>
        <v>252396</v>
      </c>
      <c r="AJ284" s="244">
        <f t="shared" si="44"/>
        <v>0</v>
      </c>
      <c r="AK284" s="244"/>
      <c r="AL284" s="354">
        <f t="shared" si="38"/>
        <v>2770</v>
      </c>
      <c r="AM284" s="243">
        <f t="shared" si="39"/>
        <v>-90433</v>
      </c>
      <c r="AN284" s="243">
        <f t="shared" si="40"/>
        <v>17790</v>
      </c>
      <c r="AO284" s="243">
        <f t="shared" si="41"/>
        <v>61834</v>
      </c>
      <c r="AP284" s="243">
        <f t="shared" si="42"/>
        <v>-14250</v>
      </c>
      <c r="AQ284" s="243">
        <f t="shared" si="43"/>
        <v>-3035</v>
      </c>
    </row>
    <row r="285" spans="1:43">
      <c r="A285" s="59">
        <v>32106</v>
      </c>
      <c r="B285" s="63" t="s">
        <v>267</v>
      </c>
      <c r="C285" s="85">
        <f>_xlfn.XLOOKUP($A285,'Change in Proportion Calc'!$A$5:$A$311,'Change in Proportion Calc'!L$5:L$311,,0,)</f>
        <v>-24130</v>
      </c>
      <c r="D285" s="85">
        <f>_xlfn.XLOOKUP($A285,'Change in Proportion Calc'!$A$5:$A$311,'Change in Proportion Calc'!M$5:M$311,,0,)</f>
        <v>-24130</v>
      </c>
      <c r="E285" s="85">
        <f>_xlfn.XLOOKUP($A285,'Change in Proportion Calc'!$A$5:$A$311,'Change in Proportion Calc'!N$5:N$311,,0,)</f>
        <v>-24130</v>
      </c>
      <c r="F285" s="85">
        <f>_xlfn.XLOOKUP($A285,'Change in Proportion Calc'!$A$5:$A$311,'Change in Proportion Calc'!O$5:O$311,,0,)</f>
        <v>-24130</v>
      </c>
      <c r="G285" s="85">
        <f>_xlfn.XLOOKUP($A285,'Change in Proportion Calc'!$A$5:$A$311,'Change in Proportion Calc'!P$5:P$311,,0,)</f>
        <v>-22438</v>
      </c>
      <c r="H285" s="228"/>
      <c r="I285" s="85">
        <v>-25020</v>
      </c>
      <c r="J285" s="85">
        <v>-25020</v>
      </c>
      <c r="K285" s="85">
        <v>-25020</v>
      </c>
      <c r="L285" s="85">
        <v>-25020</v>
      </c>
      <c r="M285" s="85">
        <v>-21766</v>
      </c>
      <c r="N285" s="85"/>
      <c r="O285" s="85">
        <v>-12275</v>
      </c>
      <c r="P285" s="85">
        <v>-12275</v>
      </c>
      <c r="Q285" s="85">
        <v>-12275</v>
      </c>
      <c r="R285" s="85">
        <v>-10927</v>
      </c>
      <c r="S285" s="228"/>
      <c r="T285" s="85">
        <v>33611</v>
      </c>
      <c r="U285" s="85">
        <v>33611</v>
      </c>
      <c r="V285" s="85">
        <v>32937</v>
      </c>
      <c r="W285" s="228"/>
      <c r="X285" s="243">
        <v>-20695</v>
      </c>
      <c r="Y285" s="244">
        <v>-20279</v>
      </c>
      <c r="Z285" s="62"/>
      <c r="AA285" s="141">
        <v>19497</v>
      </c>
      <c r="AD285" s="244">
        <f>VLOOKUP(A285,'Change in Proportion Calc'!$A$5:$H$311,8,FALSE)+SUMIF($C$5:$AB$5,2025,C285:AB285)</f>
        <v>-29012</v>
      </c>
      <c r="AF285" s="243">
        <f t="shared" si="36"/>
        <v>66548</v>
      </c>
      <c r="AG285" s="243">
        <f t="shared" si="37"/>
        <v>271540</v>
      </c>
      <c r="AI285" s="243">
        <f>VLOOKUP(A285,'OPEB Amounts_Report'!$A$10:$G$324,7,FALSE)</f>
        <v>66548</v>
      </c>
      <c r="AJ285" s="244">
        <f t="shared" si="44"/>
        <v>0</v>
      </c>
      <c r="AK285" s="244"/>
      <c r="AL285" s="354">
        <f t="shared" si="38"/>
        <v>32106</v>
      </c>
      <c r="AM285" s="243">
        <f t="shared" si="39"/>
        <v>-48093</v>
      </c>
      <c r="AN285" s="243">
        <f t="shared" si="40"/>
        <v>-28488</v>
      </c>
      <c r="AO285" s="243">
        <f t="shared" si="41"/>
        <v>-60077</v>
      </c>
      <c r="AP285" s="243">
        <f t="shared" si="42"/>
        <v>-45896</v>
      </c>
      <c r="AQ285" s="243">
        <f t="shared" si="43"/>
        <v>-22438</v>
      </c>
    </row>
    <row r="286" spans="1:43">
      <c r="A286" s="61">
        <v>4180</v>
      </c>
      <c r="B286" s="62" t="s">
        <v>268</v>
      </c>
      <c r="C286" s="85">
        <f>_xlfn.XLOOKUP($A286,'Change in Proportion Calc'!$A$5:$A$311,'Change in Proportion Calc'!L$5:L$311,,0,)</f>
        <v>-5641</v>
      </c>
      <c r="D286" s="85">
        <f>_xlfn.XLOOKUP($A286,'Change in Proportion Calc'!$A$5:$A$311,'Change in Proportion Calc'!M$5:M$311,,0,)</f>
        <v>-5641</v>
      </c>
      <c r="E286" s="85">
        <f>_xlfn.XLOOKUP($A286,'Change in Proportion Calc'!$A$5:$A$311,'Change in Proportion Calc'!N$5:N$311,,0,)</f>
        <v>-5641</v>
      </c>
      <c r="F286" s="85">
        <f>_xlfn.XLOOKUP($A286,'Change in Proportion Calc'!$A$5:$A$311,'Change in Proportion Calc'!O$5:O$311,,0,)</f>
        <v>-5641</v>
      </c>
      <c r="G286" s="85">
        <f>_xlfn.XLOOKUP($A286,'Change in Proportion Calc'!$A$5:$A$311,'Change in Proportion Calc'!P$5:P$311,,0,)</f>
        <v>-5246</v>
      </c>
      <c r="H286" s="228"/>
      <c r="I286" s="85">
        <v>-7535</v>
      </c>
      <c r="J286" s="85">
        <v>-7535</v>
      </c>
      <c r="K286" s="85">
        <v>-7535</v>
      </c>
      <c r="L286" s="85">
        <v>-7535</v>
      </c>
      <c r="M286" s="85">
        <v>-6556</v>
      </c>
      <c r="N286" s="85"/>
      <c r="O286" s="85">
        <v>-12390</v>
      </c>
      <c r="P286" s="85">
        <v>-12390</v>
      </c>
      <c r="Q286" s="85">
        <v>-12390</v>
      </c>
      <c r="R286" s="85">
        <v>-11026</v>
      </c>
      <c r="S286" s="228"/>
      <c r="T286" s="85">
        <v>16846</v>
      </c>
      <c r="U286" s="85">
        <v>16846</v>
      </c>
      <c r="V286" s="85">
        <v>16508</v>
      </c>
      <c r="W286" s="228"/>
      <c r="X286" s="243">
        <v>-11077</v>
      </c>
      <c r="Y286" s="244">
        <v>-10856</v>
      </c>
      <c r="Z286" s="62"/>
      <c r="AA286" s="141">
        <v>4099</v>
      </c>
      <c r="AD286" s="244">
        <f>VLOOKUP(A286,'Change in Proportion Calc'!$A$5:$H$311,8,FALSE)+SUMIF($C$5:$AB$5,2025,C286:AB286)</f>
        <v>-15698</v>
      </c>
      <c r="AF286" s="243">
        <f t="shared" si="36"/>
        <v>33354</v>
      </c>
      <c r="AG286" s="243">
        <f t="shared" si="37"/>
        <v>103633</v>
      </c>
      <c r="AI286" s="243">
        <f>VLOOKUP(A286,'OPEB Amounts_Report'!$A$10:$G$324,7,FALSE)</f>
        <v>33354</v>
      </c>
      <c r="AJ286" s="244">
        <f t="shared" si="44"/>
        <v>0</v>
      </c>
      <c r="AK286" s="244"/>
      <c r="AL286" s="354">
        <f t="shared" si="38"/>
        <v>4180</v>
      </c>
      <c r="AM286" s="243">
        <f t="shared" si="39"/>
        <v>-19576</v>
      </c>
      <c r="AN286" s="243">
        <f t="shared" si="40"/>
        <v>-9058</v>
      </c>
      <c r="AO286" s="243">
        <f t="shared" si="41"/>
        <v>-24202</v>
      </c>
      <c r="AP286" s="243">
        <f t="shared" si="42"/>
        <v>-12197</v>
      </c>
      <c r="AQ286" s="243">
        <f t="shared" si="43"/>
        <v>-5246</v>
      </c>
    </row>
    <row r="287" spans="1:43">
      <c r="A287" s="59">
        <v>21063</v>
      </c>
      <c r="B287" s="63" t="s">
        <v>269</v>
      </c>
      <c r="C287" s="85">
        <f>_xlfn.XLOOKUP($A287,'Change in Proportion Calc'!$A$5:$A$311,'Change in Proportion Calc'!L$5:L$311,,0,)</f>
        <v>75155</v>
      </c>
      <c r="D287" s="85">
        <f>_xlfn.XLOOKUP($A287,'Change in Proportion Calc'!$A$5:$A$311,'Change in Proportion Calc'!M$5:M$311,,0,)</f>
        <v>75155</v>
      </c>
      <c r="E287" s="85">
        <f>_xlfn.XLOOKUP($A287,'Change in Proportion Calc'!$A$5:$A$311,'Change in Proportion Calc'!N$5:N$311,,0,)</f>
        <v>75155</v>
      </c>
      <c r="F287" s="85">
        <f>_xlfn.XLOOKUP($A287,'Change in Proportion Calc'!$A$5:$A$311,'Change in Proportion Calc'!O$5:O$311,,0,)</f>
        <v>75155</v>
      </c>
      <c r="G287" s="85">
        <f>_xlfn.XLOOKUP($A287,'Change in Proportion Calc'!$A$5:$A$311,'Change in Proportion Calc'!P$5:P$311,,0,)</f>
        <v>69897</v>
      </c>
      <c r="H287" s="228"/>
      <c r="I287" s="85">
        <v>-28330</v>
      </c>
      <c r="J287" s="85">
        <v>-28330</v>
      </c>
      <c r="K287" s="85">
        <v>-28330</v>
      </c>
      <c r="L287" s="85">
        <v>-28330</v>
      </c>
      <c r="M287" s="85">
        <v>-24647</v>
      </c>
      <c r="N287" s="85"/>
      <c r="O287" s="85">
        <v>8802</v>
      </c>
      <c r="P287" s="85">
        <v>8802</v>
      </c>
      <c r="Q287" s="85">
        <v>8802</v>
      </c>
      <c r="R287" s="85">
        <v>7834</v>
      </c>
      <c r="S287" s="228"/>
      <c r="T287" s="85">
        <v>26564</v>
      </c>
      <c r="U287" s="85">
        <v>26564</v>
      </c>
      <c r="V287" s="85">
        <v>26035</v>
      </c>
      <c r="W287" s="228"/>
      <c r="X287" s="243">
        <v>-23786</v>
      </c>
      <c r="Y287" s="244">
        <v>-23309</v>
      </c>
      <c r="Z287" s="62"/>
      <c r="AA287" s="141">
        <v>36881</v>
      </c>
      <c r="AD287" s="244">
        <f>VLOOKUP(A287,'Change in Proportion Calc'!$A$5:$H$311,8,FALSE)+SUMIF($C$5:$AB$5,2025,C287:AB287)</f>
        <v>95286</v>
      </c>
      <c r="AF287" s="243">
        <f t="shared" si="36"/>
        <v>448554</v>
      </c>
      <c r="AG287" s="243">
        <f t="shared" si="37"/>
        <v>132946</v>
      </c>
      <c r="AI287" s="243">
        <f>VLOOKUP(A287,'OPEB Amounts_Report'!$A$10:$G$324,7,FALSE)</f>
        <v>448554</v>
      </c>
      <c r="AJ287" s="244">
        <f t="shared" si="44"/>
        <v>0</v>
      </c>
      <c r="AK287" s="244"/>
      <c r="AL287" s="354">
        <f t="shared" si="38"/>
        <v>21063</v>
      </c>
      <c r="AM287" s="243">
        <f t="shared" si="39"/>
        <v>58882</v>
      </c>
      <c r="AN287" s="243">
        <f t="shared" si="40"/>
        <v>81662</v>
      </c>
      <c r="AO287" s="243">
        <f t="shared" si="41"/>
        <v>54659</v>
      </c>
      <c r="AP287" s="243">
        <f t="shared" si="42"/>
        <v>50508</v>
      </c>
      <c r="AQ287" s="243">
        <f t="shared" si="43"/>
        <v>69897</v>
      </c>
    </row>
    <row r="288" spans="1:43">
      <c r="A288" s="61">
        <v>10033</v>
      </c>
      <c r="B288" s="62" t="s">
        <v>270</v>
      </c>
      <c r="C288" s="85">
        <f>_xlfn.XLOOKUP($A288,'Change in Proportion Calc'!$A$5:$A$311,'Change in Proportion Calc'!L$5:L$311,,0,)</f>
        <v>-52933</v>
      </c>
      <c r="D288" s="85">
        <f>_xlfn.XLOOKUP($A288,'Change in Proportion Calc'!$A$5:$A$311,'Change in Proportion Calc'!M$5:M$311,,0,)</f>
        <v>-52933</v>
      </c>
      <c r="E288" s="85">
        <f>_xlfn.XLOOKUP($A288,'Change in Proportion Calc'!$A$5:$A$311,'Change in Proportion Calc'!N$5:N$311,,0,)</f>
        <v>-52933</v>
      </c>
      <c r="F288" s="85">
        <f>_xlfn.XLOOKUP($A288,'Change in Proportion Calc'!$A$5:$A$311,'Change in Proportion Calc'!O$5:O$311,,0,)</f>
        <v>-52933</v>
      </c>
      <c r="G288" s="85">
        <f>_xlfn.XLOOKUP($A288,'Change in Proportion Calc'!$A$5:$A$311,'Change in Proportion Calc'!P$5:P$311,,0,)</f>
        <v>-49228</v>
      </c>
      <c r="H288" s="228"/>
      <c r="I288" s="85">
        <v>21114</v>
      </c>
      <c r="J288" s="85">
        <v>21114</v>
      </c>
      <c r="K288" s="85">
        <v>21114</v>
      </c>
      <c r="L288" s="85">
        <v>21114</v>
      </c>
      <c r="M288" s="85">
        <v>18370</v>
      </c>
      <c r="N288" s="85"/>
      <c r="O288" s="85">
        <v>-17113</v>
      </c>
      <c r="P288" s="85">
        <v>-17113</v>
      </c>
      <c r="Q288" s="85">
        <v>-17113</v>
      </c>
      <c r="R288" s="85">
        <v>-15233</v>
      </c>
      <c r="S288" s="228"/>
      <c r="T288" s="85">
        <v>26079</v>
      </c>
      <c r="U288" s="85">
        <v>26079</v>
      </c>
      <c r="V288" s="85">
        <v>25555</v>
      </c>
      <c r="W288" s="228"/>
      <c r="X288" s="243">
        <v>-21553</v>
      </c>
      <c r="Y288" s="244">
        <v>-21123</v>
      </c>
      <c r="Z288" s="62"/>
      <c r="AA288" s="141">
        <v>-16517</v>
      </c>
      <c r="AD288" s="244">
        <f>VLOOKUP(A288,'Change in Proportion Calc'!$A$5:$H$311,8,FALSE)+SUMIF($C$5:$AB$5,2025,C288:AB288)</f>
        <v>-60923</v>
      </c>
      <c r="AF288" s="243">
        <f t="shared" si="36"/>
        <v>133346</v>
      </c>
      <c r="AG288" s="243">
        <f t="shared" si="37"/>
        <v>331542</v>
      </c>
      <c r="AI288" s="243">
        <f>VLOOKUP(A288,'OPEB Amounts_Report'!$A$10:$G$324,7,FALSE)</f>
        <v>133346</v>
      </c>
      <c r="AJ288" s="244">
        <f t="shared" si="44"/>
        <v>0</v>
      </c>
      <c r="AK288" s="244"/>
      <c r="AL288" s="354">
        <f t="shared" si="38"/>
        <v>10033</v>
      </c>
      <c r="AM288" s="243">
        <f t="shared" si="39"/>
        <v>-43976</v>
      </c>
      <c r="AN288" s="243">
        <f t="shared" si="40"/>
        <v>-23377</v>
      </c>
      <c r="AO288" s="243">
        <f t="shared" si="41"/>
        <v>-47052</v>
      </c>
      <c r="AP288" s="243">
        <f t="shared" si="42"/>
        <v>-34563</v>
      </c>
      <c r="AQ288" s="243">
        <f t="shared" si="43"/>
        <v>-49228</v>
      </c>
    </row>
    <row r="289" spans="1:43">
      <c r="A289" s="59">
        <v>15049</v>
      </c>
      <c r="B289" s="63" t="s">
        <v>271</v>
      </c>
      <c r="C289" s="85">
        <f>_xlfn.XLOOKUP($A289,'Change in Proportion Calc'!$A$5:$A$311,'Change in Proportion Calc'!L$5:L$311,,0,)</f>
        <v>8439</v>
      </c>
      <c r="D289" s="85">
        <f>_xlfn.XLOOKUP($A289,'Change in Proportion Calc'!$A$5:$A$311,'Change in Proportion Calc'!M$5:M$311,,0,)</f>
        <v>8439</v>
      </c>
      <c r="E289" s="85">
        <f>_xlfn.XLOOKUP($A289,'Change in Proportion Calc'!$A$5:$A$311,'Change in Proportion Calc'!N$5:N$311,,0,)</f>
        <v>8439</v>
      </c>
      <c r="F289" s="85">
        <f>_xlfn.XLOOKUP($A289,'Change in Proportion Calc'!$A$5:$A$311,'Change in Proportion Calc'!O$5:O$311,,0,)</f>
        <v>8439</v>
      </c>
      <c r="G289" s="85">
        <f>_xlfn.XLOOKUP($A289,'Change in Proportion Calc'!$A$5:$A$311,'Change in Proportion Calc'!P$5:P$311,,0,)</f>
        <v>7851</v>
      </c>
      <c r="H289" s="228"/>
      <c r="I289" s="85">
        <v>86635</v>
      </c>
      <c r="J289" s="85">
        <v>86635</v>
      </c>
      <c r="K289" s="85">
        <v>86635</v>
      </c>
      <c r="L289" s="85">
        <v>86635</v>
      </c>
      <c r="M289" s="85">
        <v>75374</v>
      </c>
      <c r="N289" s="85"/>
      <c r="O289" s="85">
        <v>29231</v>
      </c>
      <c r="P289" s="85">
        <v>29231</v>
      </c>
      <c r="Q289" s="85">
        <v>29231</v>
      </c>
      <c r="R289" s="85">
        <v>26018</v>
      </c>
      <c r="S289" s="228"/>
      <c r="T289" s="85">
        <v>-1863</v>
      </c>
      <c r="U289" s="85">
        <v>-1863</v>
      </c>
      <c r="V289" s="85">
        <v>-1824</v>
      </c>
      <c r="W289" s="228"/>
      <c r="X289" s="243">
        <v>-14855</v>
      </c>
      <c r="Y289" s="244">
        <v>-14560</v>
      </c>
      <c r="Z289" s="62"/>
      <c r="AA289" s="141">
        <v>-3415</v>
      </c>
      <c r="AD289" s="244">
        <f>VLOOKUP(A289,'Change in Proportion Calc'!$A$5:$H$311,8,FALSE)+SUMIF($C$5:$AB$5,2025,C289:AB289)</f>
        <v>104172</v>
      </c>
      <c r="AF289" s="243">
        <f t="shared" si="36"/>
        <v>461366</v>
      </c>
      <c r="AG289" s="243">
        <f t="shared" si="37"/>
        <v>18247</v>
      </c>
      <c r="AI289" s="243">
        <f>VLOOKUP(A289,'OPEB Amounts_Report'!$A$10:$G$324,7,FALSE)</f>
        <v>461366</v>
      </c>
      <c r="AJ289" s="244">
        <f t="shared" si="44"/>
        <v>0</v>
      </c>
      <c r="AK289" s="244"/>
      <c r="AL289" s="354">
        <f t="shared" si="38"/>
        <v>15049</v>
      </c>
      <c r="AM289" s="243">
        <f t="shared" si="39"/>
        <v>107882</v>
      </c>
      <c r="AN289" s="243">
        <f t="shared" si="40"/>
        <v>122481</v>
      </c>
      <c r="AO289" s="243">
        <f t="shared" si="41"/>
        <v>121092</v>
      </c>
      <c r="AP289" s="243">
        <f t="shared" si="42"/>
        <v>83813</v>
      </c>
      <c r="AQ289" s="243">
        <f t="shared" si="43"/>
        <v>7851</v>
      </c>
    </row>
    <row r="290" spans="1:43">
      <c r="A290" s="61">
        <v>1315</v>
      </c>
      <c r="B290" s="62" t="s">
        <v>272</v>
      </c>
      <c r="C290" s="85">
        <f>_xlfn.XLOOKUP($A290,'Change in Proportion Calc'!$A$5:$A$311,'Change in Proportion Calc'!L$5:L$311,,0,)</f>
        <v>-41439</v>
      </c>
      <c r="D290" s="85">
        <f>_xlfn.XLOOKUP($A290,'Change in Proportion Calc'!$A$5:$A$311,'Change in Proportion Calc'!M$5:M$311,,0,)</f>
        <v>-41439</v>
      </c>
      <c r="E290" s="85">
        <f>_xlfn.XLOOKUP($A290,'Change in Proportion Calc'!$A$5:$A$311,'Change in Proportion Calc'!N$5:N$311,,0,)</f>
        <v>-41439</v>
      </c>
      <c r="F290" s="85">
        <f>_xlfn.XLOOKUP($A290,'Change in Proportion Calc'!$A$5:$A$311,'Change in Proportion Calc'!O$5:O$311,,0,)</f>
        <v>-41439</v>
      </c>
      <c r="G290" s="85">
        <f>_xlfn.XLOOKUP($A290,'Change in Proportion Calc'!$A$5:$A$311,'Change in Proportion Calc'!P$5:P$311,,0,)</f>
        <v>-38538</v>
      </c>
      <c r="H290" s="228"/>
      <c r="I290" s="85">
        <v>6016</v>
      </c>
      <c r="J290" s="85">
        <v>6016</v>
      </c>
      <c r="K290" s="85">
        <v>6016</v>
      </c>
      <c r="L290" s="85">
        <v>6016</v>
      </c>
      <c r="M290" s="85">
        <v>5236</v>
      </c>
      <c r="N290" s="85"/>
      <c r="O290" s="85">
        <v>92431</v>
      </c>
      <c r="P290" s="85">
        <v>92431</v>
      </c>
      <c r="Q290" s="85">
        <v>92431</v>
      </c>
      <c r="R290" s="85">
        <v>82266</v>
      </c>
      <c r="S290" s="228"/>
      <c r="T290" s="85">
        <v>35554</v>
      </c>
      <c r="U290" s="85">
        <v>35554</v>
      </c>
      <c r="V290" s="85">
        <v>34845</v>
      </c>
      <c r="W290" s="228"/>
      <c r="X290" s="243">
        <v>64831</v>
      </c>
      <c r="Y290" s="244">
        <v>63535</v>
      </c>
      <c r="Z290" s="62"/>
      <c r="AA290" s="141">
        <v>61659</v>
      </c>
      <c r="AD290" s="244">
        <f>VLOOKUP(A290,'Change in Proportion Calc'!$A$5:$H$311,8,FALSE)+SUMIF($C$5:$AB$5,2025,C290:AB290)</f>
        <v>219052</v>
      </c>
      <c r="AF290" s="243">
        <f t="shared" si="36"/>
        <v>424346</v>
      </c>
      <c r="AG290" s="243">
        <f t="shared" si="37"/>
        <v>204294</v>
      </c>
      <c r="AI290" s="243">
        <f>VLOOKUP(A290,'OPEB Amounts_Report'!$A$10:$G$324,7,FALSE)</f>
        <v>424346</v>
      </c>
      <c r="AJ290" s="244">
        <f t="shared" si="44"/>
        <v>0</v>
      </c>
      <c r="AK290" s="244"/>
      <c r="AL290" s="354">
        <f t="shared" si="38"/>
        <v>1315</v>
      </c>
      <c r="AM290" s="243">
        <f t="shared" si="39"/>
        <v>156097</v>
      </c>
      <c r="AN290" s="243">
        <f t="shared" si="40"/>
        <v>91853</v>
      </c>
      <c r="AO290" s="243">
        <f t="shared" si="41"/>
        <v>46843</v>
      </c>
      <c r="AP290" s="243">
        <f t="shared" si="42"/>
        <v>-36203</v>
      </c>
      <c r="AQ290" s="243">
        <f t="shared" si="43"/>
        <v>-38538</v>
      </c>
    </row>
    <row r="291" spans="1:43">
      <c r="A291" s="59">
        <v>3340</v>
      </c>
      <c r="B291" s="63" t="s">
        <v>273</v>
      </c>
      <c r="C291" s="85">
        <f>_xlfn.XLOOKUP($A291,'Change in Proportion Calc'!$A$5:$A$311,'Change in Proportion Calc'!L$5:L$311,,0,)</f>
        <v>-12527</v>
      </c>
      <c r="D291" s="85">
        <f>_xlfn.XLOOKUP($A291,'Change in Proportion Calc'!$A$5:$A$311,'Change in Proportion Calc'!M$5:M$311,,0,)</f>
        <v>-12527</v>
      </c>
      <c r="E291" s="85">
        <f>_xlfn.XLOOKUP($A291,'Change in Proportion Calc'!$A$5:$A$311,'Change in Proportion Calc'!N$5:N$311,,0,)</f>
        <v>-12527</v>
      </c>
      <c r="F291" s="85">
        <f>_xlfn.XLOOKUP($A291,'Change in Proportion Calc'!$A$5:$A$311,'Change in Proportion Calc'!O$5:O$311,,0,)</f>
        <v>-12527</v>
      </c>
      <c r="G291" s="85">
        <f>_xlfn.XLOOKUP($A291,'Change in Proportion Calc'!$A$5:$A$311,'Change in Proportion Calc'!P$5:P$311,,0,)</f>
        <v>-11648</v>
      </c>
      <c r="H291" s="228"/>
      <c r="I291" s="85">
        <v>-38372</v>
      </c>
      <c r="J291" s="85">
        <v>-38372</v>
      </c>
      <c r="K291" s="85">
        <v>-38372</v>
      </c>
      <c r="L291" s="85">
        <v>-38372</v>
      </c>
      <c r="M291" s="85">
        <v>-33385</v>
      </c>
      <c r="N291" s="85"/>
      <c r="O291" s="85">
        <v>3991</v>
      </c>
      <c r="P291" s="85">
        <v>3991</v>
      </c>
      <c r="Q291" s="85">
        <v>3991</v>
      </c>
      <c r="R291" s="85">
        <v>3550</v>
      </c>
      <c r="S291" s="228"/>
      <c r="T291" s="85">
        <v>19113</v>
      </c>
      <c r="U291" s="85">
        <v>19113</v>
      </c>
      <c r="V291" s="85">
        <v>18733</v>
      </c>
      <c r="W291" s="228"/>
      <c r="X291" s="243">
        <v>-35979</v>
      </c>
      <c r="Y291" s="244">
        <v>-35260</v>
      </c>
      <c r="Z291" s="62"/>
      <c r="AA291" s="141">
        <v>4410</v>
      </c>
      <c r="AD291" s="244">
        <f>VLOOKUP(A291,'Change in Proportion Calc'!$A$5:$H$311,8,FALSE)+SUMIF($C$5:$AB$5,2025,C291:AB291)</f>
        <v>-59364</v>
      </c>
      <c r="AF291" s="243">
        <f t="shared" si="36"/>
        <v>49378</v>
      </c>
      <c r="AG291" s="243">
        <f t="shared" si="37"/>
        <v>245517</v>
      </c>
      <c r="AI291" s="243">
        <f>VLOOKUP(A291,'OPEB Amounts_Report'!$A$10:$G$324,7,FALSE)</f>
        <v>49378</v>
      </c>
      <c r="AJ291" s="244">
        <f t="shared" si="44"/>
        <v>0</v>
      </c>
      <c r="AK291" s="244"/>
      <c r="AL291" s="354">
        <f t="shared" si="38"/>
        <v>3340</v>
      </c>
      <c r="AM291" s="243">
        <f t="shared" si="39"/>
        <v>-63055</v>
      </c>
      <c r="AN291" s="243">
        <f t="shared" si="40"/>
        <v>-28175</v>
      </c>
      <c r="AO291" s="243">
        <f t="shared" si="41"/>
        <v>-47349</v>
      </c>
      <c r="AP291" s="243">
        <f t="shared" si="42"/>
        <v>-45912</v>
      </c>
      <c r="AQ291" s="243">
        <f t="shared" si="43"/>
        <v>-11648</v>
      </c>
    </row>
    <row r="292" spans="1:43">
      <c r="A292" s="61">
        <v>3350</v>
      </c>
      <c r="B292" s="62" t="s">
        <v>274</v>
      </c>
      <c r="C292" s="85">
        <f>_xlfn.XLOOKUP($A292,'Change in Proportion Calc'!$A$5:$A$311,'Change in Proportion Calc'!L$5:L$311,,0,)</f>
        <v>52490</v>
      </c>
      <c r="D292" s="85">
        <f>_xlfn.XLOOKUP($A292,'Change in Proportion Calc'!$A$5:$A$311,'Change in Proportion Calc'!M$5:M$311,,0,)</f>
        <v>52490</v>
      </c>
      <c r="E292" s="85">
        <f>_xlfn.XLOOKUP($A292,'Change in Proportion Calc'!$A$5:$A$311,'Change in Proportion Calc'!N$5:N$311,,0,)</f>
        <v>52490</v>
      </c>
      <c r="F292" s="85">
        <f>_xlfn.XLOOKUP($A292,'Change in Proportion Calc'!$A$5:$A$311,'Change in Proportion Calc'!O$5:O$311,,0,)</f>
        <v>52490</v>
      </c>
      <c r="G292" s="85">
        <f>_xlfn.XLOOKUP($A292,'Change in Proportion Calc'!$A$5:$A$311,'Change in Proportion Calc'!P$5:P$311,,0,)</f>
        <v>48817</v>
      </c>
      <c r="H292" s="228"/>
      <c r="I292" s="85">
        <v>-76826</v>
      </c>
      <c r="J292" s="85">
        <v>-76826</v>
      </c>
      <c r="K292" s="85">
        <v>-76826</v>
      </c>
      <c r="L292" s="85">
        <v>-76826</v>
      </c>
      <c r="M292" s="85">
        <v>-66838</v>
      </c>
      <c r="N292" s="85"/>
      <c r="O292" s="85">
        <v>315731</v>
      </c>
      <c r="P292" s="85">
        <v>315731</v>
      </c>
      <c r="Q292" s="85">
        <v>315731</v>
      </c>
      <c r="R292" s="85">
        <v>281003</v>
      </c>
      <c r="S292" s="228"/>
      <c r="T292" s="85">
        <v>-293344</v>
      </c>
      <c r="U292" s="85">
        <v>-293344</v>
      </c>
      <c r="V292" s="85">
        <v>-287476</v>
      </c>
      <c r="W292" s="228"/>
      <c r="X292" s="243">
        <v>-22755</v>
      </c>
      <c r="Y292" s="244">
        <v>-22302</v>
      </c>
      <c r="Z292" s="62"/>
      <c r="AA292" s="141">
        <v>-143680</v>
      </c>
      <c r="AD292" s="244">
        <f>VLOOKUP(A292,'Change in Proportion Calc'!$A$5:$H$311,8,FALSE)+SUMIF($C$5:$AB$5,2025,C292:AB292)</f>
        <v>-168384</v>
      </c>
      <c r="AF292" s="243">
        <f t="shared" si="36"/>
        <v>1171242</v>
      </c>
      <c r="AG292" s="243">
        <f t="shared" si="37"/>
        <v>900438</v>
      </c>
      <c r="AI292" s="243">
        <f>VLOOKUP(A292,'OPEB Amounts_Report'!$A$10:$G$324,7,FALSE)</f>
        <v>1171242</v>
      </c>
      <c r="AJ292" s="244">
        <f t="shared" si="44"/>
        <v>0</v>
      </c>
      <c r="AK292" s="244"/>
      <c r="AL292" s="354">
        <f t="shared" si="38"/>
        <v>3350</v>
      </c>
      <c r="AM292" s="243">
        <f t="shared" si="39"/>
        <v>-24251</v>
      </c>
      <c r="AN292" s="243">
        <f t="shared" si="40"/>
        <v>3919</v>
      </c>
      <c r="AO292" s="243">
        <f t="shared" si="41"/>
        <v>256667</v>
      </c>
      <c r="AP292" s="243">
        <f t="shared" si="42"/>
        <v>-14348</v>
      </c>
      <c r="AQ292" s="243">
        <f t="shared" si="43"/>
        <v>48817</v>
      </c>
    </row>
    <row r="293" spans="1:43">
      <c r="A293" s="59">
        <v>24073</v>
      </c>
      <c r="B293" s="63" t="s">
        <v>275</v>
      </c>
      <c r="C293" s="85">
        <f>_xlfn.XLOOKUP($A293,'Change in Proportion Calc'!$A$5:$A$311,'Change in Proportion Calc'!L$5:L$311,,0,)</f>
        <v>-647</v>
      </c>
      <c r="D293" s="85">
        <f>_xlfn.XLOOKUP($A293,'Change in Proportion Calc'!$A$5:$A$311,'Change in Proportion Calc'!M$5:M$311,,0,)</f>
        <v>-647</v>
      </c>
      <c r="E293" s="85">
        <f>_xlfn.XLOOKUP($A293,'Change in Proportion Calc'!$A$5:$A$311,'Change in Proportion Calc'!N$5:N$311,,0,)</f>
        <v>-647</v>
      </c>
      <c r="F293" s="85">
        <f>_xlfn.XLOOKUP($A293,'Change in Proportion Calc'!$A$5:$A$311,'Change in Proportion Calc'!O$5:O$311,,0,)</f>
        <v>-647</v>
      </c>
      <c r="G293" s="85">
        <f>_xlfn.XLOOKUP($A293,'Change in Proportion Calc'!$A$5:$A$311,'Change in Proportion Calc'!P$5:P$311,,0,)</f>
        <v>-600</v>
      </c>
      <c r="H293" s="228"/>
      <c r="I293" s="85">
        <v>16514</v>
      </c>
      <c r="J293" s="85">
        <v>16514</v>
      </c>
      <c r="K293" s="85">
        <v>16514</v>
      </c>
      <c r="L293" s="85">
        <v>16514</v>
      </c>
      <c r="M293" s="85">
        <v>14366</v>
      </c>
      <c r="N293" s="85"/>
      <c r="O293" s="85">
        <v>-13988</v>
      </c>
      <c r="P293" s="85">
        <v>-13988</v>
      </c>
      <c r="Q293" s="85">
        <v>-13988</v>
      </c>
      <c r="R293" s="85">
        <v>-12451</v>
      </c>
      <c r="S293" s="228"/>
      <c r="T293" s="85">
        <v>11339</v>
      </c>
      <c r="U293" s="85">
        <v>11339</v>
      </c>
      <c r="V293" s="85">
        <v>11110</v>
      </c>
      <c r="W293" s="228"/>
      <c r="X293" s="243">
        <v>1374</v>
      </c>
      <c r="Y293" s="244">
        <v>1346</v>
      </c>
      <c r="Z293" s="62"/>
      <c r="AA293" s="141">
        <v>5711</v>
      </c>
      <c r="AD293" s="244">
        <f>VLOOKUP(A293,'Change in Proportion Calc'!$A$5:$H$311,8,FALSE)+SUMIF($C$5:$AB$5,2025,C293:AB293)</f>
        <v>20303</v>
      </c>
      <c r="AF293" s="243">
        <f t="shared" si="36"/>
        <v>87703</v>
      </c>
      <c r="AG293" s="243">
        <f t="shared" si="37"/>
        <v>43615</v>
      </c>
      <c r="AI293" s="243">
        <f>VLOOKUP(A293,'OPEB Amounts_Report'!$A$10:$G$324,7,FALSE)</f>
        <v>87703</v>
      </c>
      <c r="AJ293" s="244">
        <f t="shared" si="44"/>
        <v>0</v>
      </c>
      <c r="AK293" s="244"/>
      <c r="AL293" s="354">
        <f t="shared" si="38"/>
        <v>24073</v>
      </c>
      <c r="AM293" s="243">
        <f t="shared" si="39"/>
        <v>14564</v>
      </c>
      <c r="AN293" s="243">
        <f t="shared" si="40"/>
        <v>12989</v>
      </c>
      <c r="AO293" s="243">
        <f t="shared" si="41"/>
        <v>3416</v>
      </c>
      <c r="AP293" s="243">
        <f t="shared" si="42"/>
        <v>13719</v>
      </c>
      <c r="AQ293" s="243">
        <f t="shared" si="43"/>
        <v>-600</v>
      </c>
    </row>
    <row r="294" spans="1:43">
      <c r="A294" s="118">
        <v>2100</v>
      </c>
      <c r="B294" s="119" t="s">
        <v>276</v>
      </c>
      <c r="C294" s="85">
        <f>_xlfn.XLOOKUP($A294,'Change in Proportion Calc'!$A$5:$A$311,'Change in Proportion Calc'!L$5:L$311,,0,)</f>
        <v>-15410</v>
      </c>
      <c r="D294" s="85">
        <f>_xlfn.XLOOKUP($A294,'Change in Proportion Calc'!$A$5:$A$311,'Change in Proportion Calc'!M$5:M$311,,0,)</f>
        <v>-15410</v>
      </c>
      <c r="E294" s="85">
        <f>_xlfn.XLOOKUP($A294,'Change in Proportion Calc'!$A$5:$A$311,'Change in Proportion Calc'!N$5:N$311,,0,)</f>
        <v>-15410</v>
      </c>
      <c r="F294" s="85">
        <f>_xlfn.XLOOKUP($A294,'Change in Proportion Calc'!$A$5:$A$311,'Change in Proportion Calc'!O$5:O$311,,0,)</f>
        <v>-15410</v>
      </c>
      <c r="G294" s="85">
        <f>_xlfn.XLOOKUP($A294,'Change in Proportion Calc'!$A$5:$A$311,'Change in Proportion Calc'!P$5:P$311,,0,)</f>
        <v>-14333</v>
      </c>
      <c r="H294" s="228"/>
      <c r="I294" s="85">
        <v>-20754</v>
      </c>
      <c r="J294" s="85">
        <v>-20754</v>
      </c>
      <c r="K294" s="85">
        <v>-20754</v>
      </c>
      <c r="L294" s="85">
        <v>-20754</v>
      </c>
      <c r="M294" s="85">
        <v>-18057</v>
      </c>
      <c r="N294" s="85"/>
      <c r="O294" s="85">
        <v>1945</v>
      </c>
      <c r="P294" s="85">
        <v>1945</v>
      </c>
      <c r="Q294" s="85">
        <v>1945</v>
      </c>
      <c r="R294" s="85">
        <v>1732</v>
      </c>
      <c r="S294" s="228"/>
      <c r="T294" s="85">
        <v>-6398</v>
      </c>
      <c r="U294" s="85">
        <v>-6398</v>
      </c>
      <c r="V294" s="85">
        <v>-6271</v>
      </c>
      <c r="W294" s="228"/>
      <c r="X294" s="243">
        <v>7213</v>
      </c>
      <c r="Y294" s="244">
        <v>7069</v>
      </c>
      <c r="Z294" s="62"/>
      <c r="AA294" s="141">
        <v>-8198</v>
      </c>
      <c r="AD294" s="244">
        <f>VLOOKUP(A294,'Change in Proportion Calc'!$A$5:$H$311,8,FALSE)+SUMIF($C$5:$AB$5,2025,C294:AB294)</f>
        <v>-41602</v>
      </c>
      <c r="AF294" s="243">
        <f t="shared" si="36"/>
        <v>12691</v>
      </c>
      <c r="AG294" s="243">
        <f t="shared" si="37"/>
        <v>168961</v>
      </c>
      <c r="AI294" s="243">
        <f>VLOOKUP(A294,'OPEB Amounts_Report'!$A$10:$G$324,7,FALSE)</f>
        <v>12691</v>
      </c>
      <c r="AJ294" s="244">
        <f t="shared" si="44"/>
        <v>0</v>
      </c>
      <c r="AK294" s="244"/>
      <c r="AL294" s="354">
        <f t="shared" si="38"/>
        <v>2100</v>
      </c>
      <c r="AM294" s="243">
        <f t="shared" si="39"/>
        <v>-33548</v>
      </c>
      <c r="AN294" s="243">
        <f t="shared" si="40"/>
        <v>-40490</v>
      </c>
      <c r="AO294" s="243">
        <f t="shared" si="41"/>
        <v>-34432</v>
      </c>
      <c r="AP294" s="243">
        <f t="shared" si="42"/>
        <v>-33467</v>
      </c>
      <c r="AQ294" s="243">
        <f t="shared" si="43"/>
        <v>-14333</v>
      </c>
    </row>
    <row r="295" spans="1:43">
      <c r="A295" s="59">
        <v>2130</v>
      </c>
      <c r="B295" s="63" t="s">
        <v>277</v>
      </c>
      <c r="C295" s="85">
        <f>_xlfn.XLOOKUP($A295,'Change in Proportion Calc'!$A$5:$A$311,'Change in Proportion Calc'!L$5:L$311,,0,)</f>
        <v>4633</v>
      </c>
      <c r="D295" s="85">
        <f>_xlfn.XLOOKUP($A295,'Change in Proportion Calc'!$A$5:$A$311,'Change in Proportion Calc'!M$5:M$311,,0,)</f>
        <v>4633</v>
      </c>
      <c r="E295" s="85">
        <f>_xlfn.XLOOKUP($A295,'Change in Proportion Calc'!$A$5:$A$311,'Change in Proportion Calc'!N$5:N$311,,0,)</f>
        <v>4633</v>
      </c>
      <c r="F295" s="85">
        <f>_xlfn.XLOOKUP($A295,'Change in Proportion Calc'!$A$5:$A$311,'Change in Proportion Calc'!O$5:O$311,,0,)</f>
        <v>4633</v>
      </c>
      <c r="G295" s="85">
        <f>_xlfn.XLOOKUP($A295,'Change in Proportion Calc'!$A$5:$A$311,'Change in Proportion Calc'!P$5:P$311,,0,)</f>
        <v>4306</v>
      </c>
      <c r="H295" s="228"/>
      <c r="I295" s="85">
        <v>-14330</v>
      </c>
      <c r="J295" s="85">
        <v>-14330</v>
      </c>
      <c r="K295" s="85">
        <v>-14330</v>
      </c>
      <c r="L295" s="85">
        <v>-14330</v>
      </c>
      <c r="M295" s="85">
        <v>-12467</v>
      </c>
      <c r="N295" s="85"/>
      <c r="O295" s="85">
        <v>-5002</v>
      </c>
      <c r="P295" s="85">
        <v>-5002</v>
      </c>
      <c r="Q295" s="85">
        <v>-5002</v>
      </c>
      <c r="R295" s="85">
        <v>-4453</v>
      </c>
      <c r="S295" s="228"/>
      <c r="T295" s="85">
        <v>2592</v>
      </c>
      <c r="U295" s="85">
        <v>2592</v>
      </c>
      <c r="V295" s="85">
        <v>2538</v>
      </c>
      <c r="W295" s="228"/>
      <c r="X295" s="243">
        <v>-6526</v>
      </c>
      <c r="Y295" s="244">
        <v>-6396</v>
      </c>
      <c r="Z295" s="62"/>
      <c r="AA295" s="141">
        <v>-7760</v>
      </c>
      <c r="AD295" s="244">
        <f>VLOOKUP(A295,'Change in Proportion Calc'!$A$5:$H$311,8,FALSE)+SUMIF($C$5:$AB$5,2025,C295:AB295)</f>
        <v>-26393</v>
      </c>
      <c r="AF295" s="243">
        <f t="shared" si="36"/>
        <v>27968</v>
      </c>
      <c r="AG295" s="243">
        <f t="shared" si="37"/>
        <v>76310</v>
      </c>
      <c r="AI295" s="243">
        <f>VLOOKUP(A295,'OPEB Amounts_Report'!$A$10:$G$324,7,FALSE)</f>
        <v>27968</v>
      </c>
      <c r="AJ295" s="244">
        <f t="shared" si="44"/>
        <v>0</v>
      </c>
      <c r="AK295" s="244"/>
      <c r="AL295" s="354">
        <f t="shared" si="38"/>
        <v>2130</v>
      </c>
      <c r="AM295" s="243">
        <f t="shared" si="39"/>
        <v>-18503</v>
      </c>
      <c r="AN295" s="243">
        <f t="shared" si="40"/>
        <v>-12161</v>
      </c>
      <c r="AO295" s="243">
        <f t="shared" si="41"/>
        <v>-14150</v>
      </c>
      <c r="AP295" s="243">
        <f t="shared" si="42"/>
        <v>-7834</v>
      </c>
      <c r="AQ295" s="243">
        <f t="shared" si="43"/>
        <v>4306</v>
      </c>
    </row>
    <row r="296" spans="1:43">
      <c r="A296" s="61">
        <v>32099</v>
      </c>
      <c r="B296" s="62" t="s">
        <v>278</v>
      </c>
      <c r="C296" s="85">
        <f>_xlfn.XLOOKUP($A296,'Change in Proportion Calc'!$A$5:$A$311,'Change in Proportion Calc'!L$5:L$311,,0,)</f>
        <v>-5185</v>
      </c>
      <c r="D296" s="85">
        <f>_xlfn.XLOOKUP($A296,'Change in Proportion Calc'!$A$5:$A$311,'Change in Proportion Calc'!M$5:M$311,,0,)</f>
        <v>-5185</v>
      </c>
      <c r="E296" s="85">
        <f>_xlfn.XLOOKUP($A296,'Change in Proportion Calc'!$A$5:$A$311,'Change in Proportion Calc'!N$5:N$311,,0,)</f>
        <v>-5185</v>
      </c>
      <c r="F296" s="85">
        <f>_xlfn.XLOOKUP($A296,'Change in Proportion Calc'!$A$5:$A$311,'Change in Proportion Calc'!O$5:O$311,,0,)</f>
        <v>-5185</v>
      </c>
      <c r="G296" s="85">
        <f>_xlfn.XLOOKUP($A296,'Change in Proportion Calc'!$A$5:$A$311,'Change in Proportion Calc'!P$5:P$311,,0,)</f>
        <v>-4825</v>
      </c>
      <c r="H296" s="228"/>
      <c r="I296" s="85">
        <v>-1084</v>
      </c>
      <c r="J296" s="85">
        <v>-1084</v>
      </c>
      <c r="K296" s="85">
        <v>-1084</v>
      </c>
      <c r="L296" s="85">
        <v>-1084</v>
      </c>
      <c r="M296" s="85">
        <v>-941</v>
      </c>
      <c r="N296" s="85"/>
      <c r="O296" s="85">
        <v>7481</v>
      </c>
      <c r="P296" s="85">
        <v>7481</v>
      </c>
      <c r="Q296" s="85">
        <v>7481</v>
      </c>
      <c r="R296" s="85">
        <v>6656</v>
      </c>
      <c r="S296" s="228"/>
      <c r="T296" s="85">
        <v>1944</v>
      </c>
      <c r="U296" s="85">
        <v>1944</v>
      </c>
      <c r="V296" s="85">
        <v>1904</v>
      </c>
      <c r="W296" s="228"/>
      <c r="X296" s="243">
        <v>-17775</v>
      </c>
      <c r="Y296" s="244">
        <v>-17419</v>
      </c>
      <c r="Z296" s="62"/>
      <c r="AA296" s="141">
        <v>-1616</v>
      </c>
      <c r="AD296" s="244">
        <f>VLOOKUP(A296,'Change in Proportion Calc'!$A$5:$H$311,8,FALSE)+SUMIF($C$5:$AB$5,2025,C296:AB296)</f>
        <v>-16235</v>
      </c>
      <c r="AF296" s="243">
        <f t="shared" si="36"/>
        <v>25466</v>
      </c>
      <c r="AG296" s="243">
        <f t="shared" si="37"/>
        <v>47177</v>
      </c>
      <c r="AI296" s="243">
        <f>VLOOKUP(A296,'OPEB Amounts_Report'!$A$10:$G$324,7,FALSE)</f>
        <v>25466</v>
      </c>
      <c r="AJ296" s="244">
        <f t="shared" si="44"/>
        <v>0</v>
      </c>
      <c r="AK296" s="244"/>
      <c r="AL296" s="354">
        <f t="shared" si="38"/>
        <v>32099</v>
      </c>
      <c r="AM296" s="243">
        <f t="shared" si="39"/>
        <v>-14263</v>
      </c>
      <c r="AN296" s="243">
        <f t="shared" si="40"/>
        <v>3116</v>
      </c>
      <c r="AO296" s="243">
        <f t="shared" si="41"/>
        <v>387</v>
      </c>
      <c r="AP296" s="243">
        <f t="shared" si="42"/>
        <v>-6126</v>
      </c>
      <c r="AQ296" s="243">
        <f t="shared" si="43"/>
        <v>-4825</v>
      </c>
    </row>
    <row r="297" spans="1:43">
      <c r="A297" s="59">
        <v>32100</v>
      </c>
      <c r="B297" s="63" t="s">
        <v>279</v>
      </c>
      <c r="C297" s="85">
        <f>_xlfn.XLOOKUP($A297,'Change in Proportion Calc'!$A$5:$A$311,'Change in Proportion Calc'!L$5:L$311,,0,)</f>
        <v>-12236</v>
      </c>
      <c r="D297" s="85">
        <f>_xlfn.XLOOKUP($A297,'Change in Proportion Calc'!$A$5:$A$311,'Change in Proportion Calc'!M$5:M$311,,0,)</f>
        <v>-12236</v>
      </c>
      <c r="E297" s="85">
        <f>_xlfn.XLOOKUP($A297,'Change in Proportion Calc'!$A$5:$A$311,'Change in Proportion Calc'!N$5:N$311,,0,)</f>
        <v>-12236</v>
      </c>
      <c r="F297" s="85">
        <f>_xlfn.XLOOKUP($A297,'Change in Proportion Calc'!$A$5:$A$311,'Change in Proportion Calc'!O$5:O$311,,0,)</f>
        <v>-12236</v>
      </c>
      <c r="G297" s="85">
        <f>_xlfn.XLOOKUP($A297,'Change in Proportion Calc'!$A$5:$A$311,'Change in Proportion Calc'!P$5:P$311,,0,)</f>
        <v>-11379</v>
      </c>
      <c r="H297" s="228"/>
      <c r="I297" s="85">
        <v>-13606</v>
      </c>
      <c r="J297" s="85">
        <v>-13606</v>
      </c>
      <c r="K297" s="85">
        <v>-13606</v>
      </c>
      <c r="L297" s="85">
        <v>-13606</v>
      </c>
      <c r="M297" s="85">
        <v>-11839</v>
      </c>
      <c r="N297" s="85"/>
      <c r="O297" s="85">
        <v>9084</v>
      </c>
      <c r="P297" s="85">
        <v>9084</v>
      </c>
      <c r="Q297" s="85">
        <v>9084</v>
      </c>
      <c r="R297" s="85">
        <v>8084</v>
      </c>
      <c r="S297" s="228"/>
      <c r="T297" s="85">
        <v>10934</v>
      </c>
      <c r="U297" s="85">
        <v>10934</v>
      </c>
      <c r="V297" s="85">
        <v>10713</v>
      </c>
      <c r="W297" s="228"/>
      <c r="X297" s="243">
        <v>-16143</v>
      </c>
      <c r="Y297" s="244">
        <v>-15822</v>
      </c>
      <c r="Z297" s="62"/>
      <c r="AA297" s="141">
        <v>1923</v>
      </c>
      <c r="AD297" s="244">
        <f>VLOOKUP(A297,'Change in Proportion Calc'!$A$5:$H$311,8,FALSE)+SUMIF($C$5:$AB$5,2025,C297:AB297)</f>
        <v>-20044</v>
      </c>
      <c r="AF297" s="243">
        <f t="shared" si="36"/>
        <v>47899</v>
      </c>
      <c r="AG297" s="243">
        <f t="shared" si="37"/>
        <v>128802</v>
      </c>
      <c r="AI297" s="243">
        <f>VLOOKUP(A297,'OPEB Amounts_Report'!$A$10:$G$324,7,FALSE)</f>
        <v>47899</v>
      </c>
      <c r="AJ297" s="244">
        <f t="shared" si="44"/>
        <v>0</v>
      </c>
      <c r="AK297" s="244"/>
      <c r="AL297" s="354">
        <f t="shared" si="38"/>
        <v>32100</v>
      </c>
      <c r="AM297" s="243">
        <f t="shared" si="39"/>
        <v>-21646</v>
      </c>
      <c r="AN297" s="243">
        <f t="shared" si="40"/>
        <v>-6045</v>
      </c>
      <c r="AO297" s="243">
        <f t="shared" si="41"/>
        <v>-17758</v>
      </c>
      <c r="AP297" s="243">
        <f t="shared" si="42"/>
        <v>-24075</v>
      </c>
      <c r="AQ297" s="243">
        <f t="shared" si="43"/>
        <v>-11379</v>
      </c>
    </row>
    <row r="298" spans="1:43">
      <c r="A298" s="61">
        <v>32101</v>
      </c>
      <c r="B298" s="62" t="s">
        <v>280</v>
      </c>
      <c r="C298" s="85">
        <f>_xlfn.XLOOKUP($A298,'Change in Proportion Calc'!$A$5:$A$311,'Change in Proportion Calc'!L$5:L$311,,0,)</f>
        <v>-8601</v>
      </c>
      <c r="D298" s="85">
        <f>_xlfn.XLOOKUP($A298,'Change in Proportion Calc'!$A$5:$A$311,'Change in Proportion Calc'!M$5:M$311,,0,)</f>
        <v>-8601</v>
      </c>
      <c r="E298" s="85">
        <f>_xlfn.XLOOKUP($A298,'Change in Proportion Calc'!$A$5:$A$311,'Change in Proportion Calc'!N$5:N$311,,0,)</f>
        <v>-8601</v>
      </c>
      <c r="F298" s="85">
        <f>_xlfn.XLOOKUP($A298,'Change in Proportion Calc'!$A$5:$A$311,'Change in Proportion Calc'!O$5:O$311,,0,)</f>
        <v>-8601</v>
      </c>
      <c r="G298" s="85">
        <f>_xlfn.XLOOKUP($A298,'Change in Proportion Calc'!$A$5:$A$311,'Change in Proportion Calc'!P$5:P$311,,0,)</f>
        <v>-7999</v>
      </c>
      <c r="H298" s="228"/>
      <c r="I298" s="85">
        <v>10269</v>
      </c>
      <c r="J298" s="85">
        <v>10269</v>
      </c>
      <c r="K298" s="85">
        <v>10269</v>
      </c>
      <c r="L298" s="85">
        <v>10269</v>
      </c>
      <c r="M298" s="85">
        <v>8932</v>
      </c>
      <c r="N298" s="85"/>
      <c r="O298" s="85">
        <v>39790</v>
      </c>
      <c r="P298" s="85">
        <v>39790</v>
      </c>
      <c r="Q298" s="85">
        <v>39790</v>
      </c>
      <c r="R298" s="85">
        <v>35411</v>
      </c>
      <c r="S298" s="228"/>
      <c r="T298" s="85">
        <v>-45354</v>
      </c>
      <c r="U298" s="85">
        <v>-45354</v>
      </c>
      <c r="V298" s="85">
        <v>-44447</v>
      </c>
      <c r="W298" s="228"/>
      <c r="X298" s="243">
        <v>-429</v>
      </c>
      <c r="Y298" s="244">
        <v>-422</v>
      </c>
      <c r="Z298" s="62"/>
      <c r="AA298" s="141">
        <v>3478</v>
      </c>
      <c r="AD298" s="244">
        <f>VLOOKUP(A298,'Change in Proportion Calc'!$A$5:$H$311,8,FALSE)+SUMIF($C$5:$AB$5,2025,C298:AB298)</f>
        <v>-847</v>
      </c>
      <c r="AF298" s="243">
        <f t="shared" si="36"/>
        <v>154730</v>
      </c>
      <c r="AG298" s="243">
        <f t="shared" si="37"/>
        <v>132626</v>
      </c>
      <c r="AI298" s="243">
        <f>VLOOKUP(A298,'OPEB Amounts_Report'!$A$10:$G$324,7,FALSE)</f>
        <v>154730</v>
      </c>
      <c r="AJ298" s="244">
        <f t="shared" si="44"/>
        <v>0</v>
      </c>
      <c r="AK298" s="244"/>
      <c r="AL298" s="354">
        <f t="shared" si="38"/>
        <v>32101</v>
      </c>
      <c r="AM298" s="243">
        <f t="shared" si="39"/>
        <v>-4318</v>
      </c>
      <c r="AN298" s="243">
        <f t="shared" si="40"/>
        <v>-2989</v>
      </c>
      <c r="AO298" s="243">
        <f t="shared" si="41"/>
        <v>37079</v>
      </c>
      <c r="AP298" s="243">
        <f t="shared" si="42"/>
        <v>331</v>
      </c>
      <c r="AQ298" s="243">
        <f t="shared" si="43"/>
        <v>-7999</v>
      </c>
    </row>
    <row r="299" spans="1:43">
      <c r="A299" s="59">
        <v>32102</v>
      </c>
      <c r="B299" s="63" t="s">
        <v>281</v>
      </c>
      <c r="C299" s="85">
        <f>_xlfn.XLOOKUP($A299,'Change in Proportion Calc'!$A$5:$A$311,'Change in Proportion Calc'!L$5:L$311,,0,)</f>
        <v>-2731</v>
      </c>
      <c r="D299" s="85">
        <f>_xlfn.XLOOKUP($A299,'Change in Proportion Calc'!$A$5:$A$311,'Change in Proportion Calc'!M$5:M$311,,0,)</f>
        <v>-2731</v>
      </c>
      <c r="E299" s="85">
        <f>_xlfn.XLOOKUP($A299,'Change in Proportion Calc'!$A$5:$A$311,'Change in Proportion Calc'!N$5:N$311,,0,)</f>
        <v>-2731</v>
      </c>
      <c r="F299" s="85">
        <f>_xlfn.XLOOKUP($A299,'Change in Proportion Calc'!$A$5:$A$311,'Change in Proportion Calc'!O$5:O$311,,0,)</f>
        <v>-2731</v>
      </c>
      <c r="G299" s="85">
        <f>_xlfn.XLOOKUP($A299,'Change in Proportion Calc'!$A$5:$A$311,'Change in Proportion Calc'!P$5:P$311,,0,)</f>
        <v>-2537</v>
      </c>
      <c r="H299" s="228"/>
      <c r="I299" s="85">
        <v>-6913</v>
      </c>
      <c r="J299" s="85">
        <v>-6913</v>
      </c>
      <c r="K299" s="85">
        <v>-6913</v>
      </c>
      <c r="L299" s="85">
        <v>-6913</v>
      </c>
      <c r="M299" s="85">
        <v>-6015</v>
      </c>
      <c r="N299" s="85"/>
      <c r="O299" s="85">
        <v>-4464</v>
      </c>
      <c r="P299" s="85">
        <v>-4464</v>
      </c>
      <c r="Q299" s="85">
        <v>-4464</v>
      </c>
      <c r="R299" s="85">
        <v>-3973</v>
      </c>
      <c r="S299" s="228"/>
      <c r="T299" s="85">
        <v>3888</v>
      </c>
      <c r="U299" s="85">
        <v>3888</v>
      </c>
      <c r="V299" s="85">
        <v>3808</v>
      </c>
      <c r="W299" s="228"/>
      <c r="X299" s="243">
        <v>-3349</v>
      </c>
      <c r="Y299" s="244">
        <v>-3281</v>
      </c>
      <c r="Z299" s="62"/>
      <c r="AA299" s="141">
        <v>4969</v>
      </c>
      <c r="AD299" s="244">
        <f>VLOOKUP(A299,'Change in Proportion Calc'!$A$5:$H$311,8,FALSE)+SUMIF($C$5:$AB$5,2025,C299:AB299)</f>
        <v>-8600</v>
      </c>
      <c r="AF299" s="243">
        <f t="shared" si="36"/>
        <v>7696</v>
      </c>
      <c r="AG299" s="243">
        <f t="shared" si="37"/>
        <v>56397</v>
      </c>
      <c r="AI299" s="243">
        <f>VLOOKUP(A299,'OPEB Amounts_Report'!$A$10:$G$324,7,FALSE)</f>
        <v>7696</v>
      </c>
      <c r="AJ299" s="244">
        <f t="shared" si="44"/>
        <v>0</v>
      </c>
      <c r="AK299" s="244"/>
      <c r="AL299" s="354">
        <f t="shared" si="38"/>
        <v>32102</v>
      </c>
      <c r="AM299" s="243">
        <f t="shared" si="39"/>
        <v>-13501</v>
      </c>
      <c r="AN299" s="243">
        <f t="shared" si="40"/>
        <v>-10300</v>
      </c>
      <c r="AO299" s="243">
        <f t="shared" si="41"/>
        <v>-13617</v>
      </c>
      <c r="AP299" s="243">
        <f t="shared" si="42"/>
        <v>-8746</v>
      </c>
      <c r="AQ299" s="243">
        <f t="shared" si="43"/>
        <v>-2537</v>
      </c>
    </row>
    <row r="300" spans="1:43">
      <c r="A300" s="61">
        <v>2880</v>
      </c>
      <c r="B300" s="62" t="s">
        <v>282</v>
      </c>
      <c r="C300" s="85">
        <f>_xlfn.XLOOKUP($A300,'Change in Proportion Calc'!$A$5:$A$311,'Change in Proportion Calc'!L$5:L$311,,0,)</f>
        <v>193</v>
      </c>
      <c r="D300" s="85">
        <f>_xlfn.XLOOKUP($A300,'Change in Proportion Calc'!$A$5:$A$311,'Change in Proportion Calc'!M$5:M$311,,0,)</f>
        <v>193</v>
      </c>
      <c r="E300" s="85">
        <f>_xlfn.XLOOKUP($A300,'Change in Proportion Calc'!$A$5:$A$311,'Change in Proportion Calc'!N$5:N$311,,0,)</f>
        <v>193</v>
      </c>
      <c r="F300" s="85">
        <f>_xlfn.XLOOKUP($A300,'Change in Proportion Calc'!$A$5:$A$311,'Change in Proportion Calc'!O$5:O$311,,0,)</f>
        <v>193</v>
      </c>
      <c r="G300" s="85">
        <f>_xlfn.XLOOKUP($A300,'Change in Proportion Calc'!$A$5:$A$311,'Change in Proportion Calc'!P$5:P$311,,0,)</f>
        <v>182</v>
      </c>
      <c r="H300" s="228"/>
      <c r="I300" s="85">
        <v>-240</v>
      </c>
      <c r="J300" s="85">
        <v>-240</v>
      </c>
      <c r="K300" s="85">
        <v>-240</v>
      </c>
      <c r="L300" s="85">
        <v>-240</v>
      </c>
      <c r="M300" s="85">
        <v>-210</v>
      </c>
      <c r="N300" s="85"/>
      <c r="O300" s="85">
        <v>-4847</v>
      </c>
      <c r="P300" s="85">
        <v>-4847</v>
      </c>
      <c r="Q300" s="85">
        <v>-4847</v>
      </c>
      <c r="R300" s="85">
        <v>-4316</v>
      </c>
      <c r="S300" s="228"/>
      <c r="T300" s="85">
        <v>5426</v>
      </c>
      <c r="U300" s="85">
        <v>5426</v>
      </c>
      <c r="V300" s="85">
        <v>5319</v>
      </c>
      <c r="W300" s="228"/>
      <c r="X300" s="243">
        <v>-172</v>
      </c>
      <c r="Y300" s="244">
        <v>-167</v>
      </c>
      <c r="Z300" s="62"/>
      <c r="AA300" s="141">
        <v>-3229</v>
      </c>
      <c r="AD300" s="244">
        <f>VLOOKUP(A300,'Change in Proportion Calc'!$A$5:$H$311,8,FALSE)+SUMIF($C$5:$AB$5,2025,C300:AB300)</f>
        <v>-2869</v>
      </c>
      <c r="AF300" s="243">
        <f t="shared" si="36"/>
        <v>11699</v>
      </c>
      <c r="AG300" s="243">
        <f t="shared" si="37"/>
        <v>15107</v>
      </c>
      <c r="AI300" s="243">
        <f>VLOOKUP(A300,'OPEB Amounts_Report'!$A$10:$G$324,7,FALSE)</f>
        <v>11699</v>
      </c>
      <c r="AJ300" s="244">
        <f t="shared" si="44"/>
        <v>0</v>
      </c>
      <c r="AK300" s="244"/>
      <c r="AL300" s="354">
        <f t="shared" si="38"/>
        <v>2880</v>
      </c>
      <c r="AM300" s="243">
        <f t="shared" si="39"/>
        <v>365</v>
      </c>
      <c r="AN300" s="243">
        <f t="shared" si="40"/>
        <v>425</v>
      </c>
      <c r="AO300" s="243">
        <f t="shared" si="41"/>
        <v>-4363</v>
      </c>
      <c r="AP300" s="243">
        <f t="shared" si="42"/>
        <v>-17</v>
      </c>
      <c r="AQ300" s="243">
        <f t="shared" si="43"/>
        <v>182</v>
      </c>
    </row>
    <row r="301" spans="1:43">
      <c r="A301" s="59">
        <v>2490</v>
      </c>
      <c r="B301" s="63" t="s">
        <v>283</v>
      </c>
      <c r="C301" s="85">
        <f>_xlfn.XLOOKUP($A301,'Change in Proportion Calc'!$A$5:$A$311,'Change in Proportion Calc'!L$5:L$311,,0,)</f>
        <v>2497</v>
      </c>
      <c r="D301" s="85">
        <f>_xlfn.XLOOKUP($A301,'Change in Proportion Calc'!$A$5:$A$311,'Change in Proportion Calc'!M$5:M$311,,0,)</f>
        <v>2497</v>
      </c>
      <c r="E301" s="85">
        <f>_xlfn.XLOOKUP($A301,'Change in Proportion Calc'!$A$5:$A$311,'Change in Proportion Calc'!N$5:N$311,,0,)</f>
        <v>2497</v>
      </c>
      <c r="F301" s="85">
        <f>_xlfn.XLOOKUP($A301,'Change in Proportion Calc'!$A$5:$A$311,'Change in Proportion Calc'!O$5:O$311,,0,)</f>
        <v>2497</v>
      </c>
      <c r="G301" s="85">
        <f>_xlfn.XLOOKUP($A301,'Change in Proportion Calc'!$A$5:$A$311,'Change in Proportion Calc'!P$5:P$311,,0,)</f>
        <v>2322</v>
      </c>
      <c r="H301" s="228"/>
      <c r="I301" s="85">
        <v>14990</v>
      </c>
      <c r="J301" s="85">
        <v>14990</v>
      </c>
      <c r="K301" s="85">
        <v>14990</v>
      </c>
      <c r="L301" s="85">
        <v>14990</v>
      </c>
      <c r="M301" s="85">
        <v>13042</v>
      </c>
      <c r="N301" s="85"/>
      <c r="O301" s="85">
        <v>-12318</v>
      </c>
      <c r="P301" s="85">
        <v>-12318</v>
      </c>
      <c r="Q301" s="85">
        <v>-12318</v>
      </c>
      <c r="R301" s="85">
        <v>-10961</v>
      </c>
      <c r="S301" s="228"/>
      <c r="T301" s="85">
        <v>2754</v>
      </c>
      <c r="U301" s="85">
        <v>2754</v>
      </c>
      <c r="V301" s="85">
        <v>2697</v>
      </c>
      <c r="W301" s="228"/>
      <c r="X301" s="243">
        <v>-39070</v>
      </c>
      <c r="Y301" s="244">
        <v>-38291</v>
      </c>
      <c r="Z301" s="62"/>
      <c r="AA301" s="141">
        <v>10122</v>
      </c>
      <c r="AD301" s="244">
        <f>VLOOKUP(A301,'Change in Proportion Calc'!$A$5:$H$311,8,FALSE)+SUMIF($C$5:$AB$5,2025,C301:AB301)</f>
        <v>-21025</v>
      </c>
      <c r="AF301" s="243">
        <f t="shared" si="36"/>
        <v>75773</v>
      </c>
      <c r="AG301" s="243">
        <f t="shared" si="37"/>
        <v>73888</v>
      </c>
      <c r="AI301" s="243">
        <f>VLOOKUP(A301,'OPEB Amounts_Report'!$A$10:$G$324,7,FALSE)</f>
        <v>75773</v>
      </c>
      <c r="AJ301" s="244">
        <f t="shared" si="44"/>
        <v>0</v>
      </c>
      <c r="AK301" s="244"/>
      <c r="AL301" s="354">
        <f t="shared" si="38"/>
        <v>2490</v>
      </c>
      <c r="AM301" s="243">
        <f t="shared" si="39"/>
        <v>-30368</v>
      </c>
      <c r="AN301" s="243">
        <f t="shared" si="40"/>
        <v>7866</v>
      </c>
      <c r="AO301" s="243">
        <f t="shared" si="41"/>
        <v>6526</v>
      </c>
      <c r="AP301" s="243">
        <f t="shared" si="42"/>
        <v>15539</v>
      </c>
      <c r="AQ301" s="243">
        <f t="shared" si="43"/>
        <v>2322</v>
      </c>
    </row>
    <row r="302" spans="1:43">
      <c r="A302" s="61">
        <v>2530</v>
      </c>
      <c r="B302" s="62" t="s">
        <v>284</v>
      </c>
      <c r="C302" s="85">
        <f>_xlfn.XLOOKUP($A302,'Change in Proportion Calc'!$A$5:$A$311,'Change in Proportion Calc'!L$5:L$311,,0,)</f>
        <v>2036</v>
      </c>
      <c r="D302" s="85">
        <f>_xlfn.XLOOKUP($A302,'Change in Proportion Calc'!$A$5:$A$311,'Change in Proportion Calc'!M$5:M$311,,0,)</f>
        <v>2036</v>
      </c>
      <c r="E302" s="85">
        <f>_xlfn.XLOOKUP($A302,'Change in Proportion Calc'!$A$5:$A$311,'Change in Proportion Calc'!N$5:N$311,,0,)</f>
        <v>2036</v>
      </c>
      <c r="F302" s="85">
        <f>_xlfn.XLOOKUP($A302,'Change in Proportion Calc'!$A$5:$A$311,'Change in Proportion Calc'!O$5:O$311,,0,)</f>
        <v>2036</v>
      </c>
      <c r="G302" s="85">
        <f>_xlfn.XLOOKUP($A302,'Change in Proportion Calc'!$A$5:$A$311,'Change in Proportion Calc'!P$5:P$311,,0,)</f>
        <v>1891</v>
      </c>
      <c r="H302" s="228"/>
      <c r="I302" s="85">
        <v>-4437</v>
      </c>
      <c r="J302" s="85">
        <v>-4437</v>
      </c>
      <c r="K302" s="85">
        <v>-4437</v>
      </c>
      <c r="L302" s="85">
        <v>-4437</v>
      </c>
      <c r="M302" s="85">
        <v>-3859</v>
      </c>
      <c r="N302" s="85"/>
      <c r="O302" s="85">
        <v>20889</v>
      </c>
      <c r="P302" s="85">
        <v>20889</v>
      </c>
      <c r="Q302" s="85">
        <v>20889</v>
      </c>
      <c r="R302" s="85">
        <v>18589</v>
      </c>
      <c r="S302" s="228"/>
      <c r="T302" s="85">
        <v>-33125</v>
      </c>
      <c r="U302" s="85">
        <v>-33125</v>
      </c>
      <c r="V302" s="85">
        <v>-32461</v>
      </c>
      <c r="W302" s="228"/>
      <c r="X302" s="243">
        <v>-6784</v>
      </c>
      <c r="Y302" s="244">
        <v>-6646</v>
      </c>
      <c r="Z302" s="62"/>
      <c r="AA302" s="141">
        <v>8505</v>
      </c>
      <c r="AD302" s="244">
        <f>VLOOKUP(A302,'Change in Proportion Calc'!$A$5:$H$311,8,FALSE)+SUMIF($C$5:$AB$5,2025,C302:AB302)</f>
        <v>-12916</v>
      </c>
      <c r="AF302" s="243">
        <f t="shared" si="36"/>
        <v>70402</v>
      </c>
      <c r="AG302" s="243">
        <f t="shared" si="37"/>
        <v>89402</v>
      </c>
      <c r="AI302" s="243">
        <f>VLOOKUP(A302,'OPEB Amounts_Report'!$A$10:$G$324,7,FALSE)</f>
        <v>70402</v>
      </c>
      <c r="AJ302" s="244">
        <f t="shared" si="44"/>
        <v>0</v>
      </c>
      <c r="AK302" s="244"/>
      <c r="AL302" s="354">
        <f t="shared" si="38"/>
        <v>2530</v>
      </c>
      <c r="AM302" s="243">
        <f t="shared" si="39"/>
        <v>-21283</v>
      </c>
      <c r="AN302" s="243">
        <f t="shared" si="40"/>
        <v>-13973</v>
      </c>
      <c r="AO302" s="243">
        <f t="shared" si="41"/>
        <v>16188</v>
      </c>
      <c r="AP302" s="243">
        <f t="shared" si="42"/>
        <v>-1823</v>
      </c>
      <c r="AQ302" s="243">
        <f t="shared" si="43"/>
        <v>1891</v>
      </c>
    </row>
    <row r="303" spans="1:43">
      <c r="A303" s="59">
        <v>2560</v>
      </c>
      <c r="B303" s="63" t="s">
        <v>285</v>
      </c>
      <c r="C303" s="85">
        <f>_xlfn.XLOOKUP($A303,'Change in Proportion Calc'!$A$5:$A$311,'Change in Proportion Calc'!L$5:L$311,,0,)</f>
        <v>20081</v>
      </c>
      <c r="D303" s="85">
        <f>_xlfn.XLOOKUP($A303,'Change in Proportion Calc'!$A$5:$A$311,'Change in Proportion Calc'!M$5:M$311,,0,)</f>
        <v>20081</v>
      </c>
      <c r="E303" s="85">
        <f>_xlfn.XLOOKUP($A303,'Change in Proportion Calc'!$A$5:$A$311,'Change in Proportion Calc'!N$5:N$311,,0,)</f>
        <v>20081</v>
      </c>
      <c r="F303" s="85">
        <f>_xlfn.XLOOKUP($A303,'Change in Proportion Calc'!$A$5:$A$311,'Change in Proportion Calc'!O$5:O$311,,0,)</f>
        <v>20081</v>
      </c>
      <c r="G303" s="85">
        <f>_xlfn.XLOOKUP($A303,'Change in Proportion Calc'!$A$5:$A$311,'Change in Proportion Calc'!P$5:P$311,,0,)</f>
        <v>18676</v>
      </c>
      <c r="H303" s="228"/>
      <c r="I303" s="85">
        <v>17006</v>
      </c>
      <c r="J303" s="85">
        <v>17006</v>
      </c>
      <c r="K303" s="85">
        <v>17006</v>
      </c>
      <c r="L303" s="85">
        <v>17006</v>
      </c>
      <c r="M303" s="85">
        <v>14793</v>
      </c>
      <c r="N303" s="85"/>
      <c r="O303" s="85">
        <v>1487</v>
      </c>
      <c r="P303" s="85">
        <v>1487</v>
      </c>
      <c r="Q303" s="85">
        <v>1487</v>
      </c>
      <c r="R303" s="85">
        <v>1321</v>
      </c>
      <c r="S303" s="228"/>
      <c r="T303" s="85">
        <v>-17899</v>
      </c>
      <c r="U303" s="85">
        <v>-17899</v>
      </c>
      <c r="V303" s="85">
        <v>-17539</v>
      </c>
      <c r="W303" s="228"/>
      <c r="X303" s="243">
        <v>-7642</v>
      </c>
      <c r="Y303" s="244">
        <v>-7491</v>
      </c>
      <c r="Z303" s="62"/>
      <c r="AA303" s="141">
        <v>9686</v>
      </c>
      <c r="AD303" s="244">
        <f>VLOOKUP(A303,'Change in Proportion Calc'!$A$5:$H$311,8,FALSE)+SUMIF($C$5:$AB$5,2025,C303:AB303)</f>
        <v>22719</v>
      </c>
      <c r="AF303" s="243">
        <f t="shared" si="36"/>
        <v>169106</v>
      </c>
      <c r="AG303" s="243">
        <f t="shared" si="37"/>
        <v>42929</v>
      </c>
      <c r="AI303" s="243">
        <f>VLOOKUP(A303,'OPEB Amounts_Report'!$A$10:$G$324,7,FALSE)</f>
        <v>169106</v>
      </c>
      <c r="AJ303" s="244">
        <f t="shared" si="44"/>
        <v>0</v>
      </c>
      <c r="AK303" s="244"/>
      <c r="AL303" s="354">
        <f t="shared" si="38"/>
        <v>2560</v>
      </c>
      <c r="AM303" s="243">
        <f t="shared" si="39"/>
        <v>13184</v>
      </c>
      <c r="AN303" s="243">
        <f t="shared" si="40"/>
        <v>21035</v>
      </c>
      <c r="AO303" s="243">
        <f t="shared" si="41"/>
        <v>38408</v>
      </c>
      <c r="AP303" s="243">
        <f t="shared" si="42"/>
        <v>34874</v>
      </c>
      <c r="AQ303" s="243">
        <f t="shared" si="43"/>
        <v>18676</v>
      </c>
    </row>
    <row r="304" spans="1:43">
      <c r="A304" s="61">
        <v>2610</v>
      </c>
      <c r="B304" s="62" t="s">
        <v>286</v>
      </c>
      <c r="C304" s="85">
        <f>_xlfn.XLOOKUP($A304,'Change in Proportion Calc'!$A$5:$A$311,'Change in Proportion Calc'!L$5:L$311,,0,)</f>
        <v>-704</v>
      </c>
      <c r="D304" s="85">
        <f>_xlfn.XLOOKUP($A304,'Change in Proportion Calc'!$A$5:$A$311,'Change in Proportion Calc'!M$5:M$311,,0,)</f>
        <v>-704</v>
      </c>
      <c r="E304" s="85">
        <f>_xlfn.XLOOKUP($A304,'Change in Proportion Calc'!$A$5:$A$311,'Change in Proportion Calc'!N$5:N$311,,0,)</f>
        <v>-704</v>
      </c>
      <c r="F304" s="85">
        <f>_xlfn.XLOOKUP($A304,'Change in Proportion Calc'!$A$5:$A$311,'Change in Proportion Calc'!O$5:O$311,,0,)</f>
        <v>-704</v>
      </c>
      <c r="G304" s="85">
        <f>_xlfn.XLOOKUP($A304,'Change in Proportion Calc'!$A$5:$A$311,'Change in Proportion Calc'!P$5:P$311,,0,)</f>
        <v>-654</v>
      </c>
      <c r="H304" s="228"/>
      <c r="I304" s="85">
        <v>1816</v>
      </c>
      <c r="J304" s="85">
        <v>1816</v>
      </c>
      <c r="K304" s="85">
        <v>1816</v>
      </c>
      <c r="L304" s="85">
        <v>1816</v>
      </c>
      <c r="M304" s="85">
        <v>1580</v>
      </c>
      <c r="N304" s="85"/>
      <c r="O304" s="85">
        <v>-3832</v>
      </c>
      <c r="P304" s="85">
        <v>-3832</v>
      </c>
      <c r="Q304" s="85">
        <v>-3832</v>
      </c>
      <c r="R304" s="85">
        <v>-3410</v>
      </c>
      <c r="S304" s="228"/>
      <c r="T304" s="85">
        <v>810</v>
      </c>
      <c r="U304" s="85">
        <v>810</v>
      </c>
      <c r="V304" s="85">
        <v>793</v>
      </c>
      <c r="W304" s="228"/>
      <c r="X304" s="243">
        <v>-3520</v>
      </c>
      <c r="Y304" s="244">
        <v>-3452</v>
      </c>
      <c r="Z304" s="62"/>
      <c r="AA304" s="141">
        <v>1492</v>
      </c>
      <c r="AD304" s="244">
        <f>VLOOKUP(A304,'Change in Proportion Calc'!$A$5:$H$311,8,FALSE)+SUMIF($C$5:$AB$5,2025,C304:AB304)</f>
        <v>-3938</v>
      </c>
      <c r="AF304" s="243">
        <f t="shared" si="36"/>
        <v>8631</v>
      </c>
      <c r="AG304" s="243">
        <f t="shared" si="37"/>
        <v>17996</v>
      </c>
      <c r="AI304" s="243">
        <f>VLOOKUP(A304,'OPEB Amounts_Report'!$A$10:$G$324,7,FALSE)</f>
        <v>8631</v>
      </c>
      <c r="AJ304" s="244">
        <f t="shared" si="44"/>
        <v>0</v>
      </c>
      <c r="AK304" s="244"/>
      <c r="AL304" s="354">
        <f t="shared" si="38"/>
        <v>2610</v>
      </c>
      <c r="AM304" s="243">
        <f t="shared" si="39"/>
        <v>-5362</v>
      </c>
      <c r="AN304" s="243">
        <f t="shared" si="40"/>
        <v>-1927</v>
      </c>
      <c r="AO304" s="243">
        <f t="shared" si="41"/>
        <v>-2298</v>
      </c>
      <c r="AP304" s="243">
        <f t="shared" si="42"/>
        <v>876</v>
      </c>
      <c r="AQ304" s="243">
        <f t="shared" si="43"/>
        <v>-654</v>
      </c>
    </row>
    <row r="305" spans="1:43">
      <c r="A305" s="59">
        <v>2800</v>
      </c>
      <c r="B305" s="63" t="s">
        <v>287</v>
      </c>
      <c r="C305" s="85">
        <f>_xlfn.XLOOKUP($A305,'Change in Proportion Calc'!$A$5:$A$311,'Change in Proportion Calc'!L$5:L$311,,0,)</f>
        <v>-4827</v>
      </c>
      <c r="D305" s="85">
        <f>_xlfn.XLOOKUP($A305,'Change in Proportion Calc'!$A$5:$A$311,'Change in Proportion Calc'!M$5:M$311,,0,)</f>
        <v>-4827</v>
      </c>
      <c r="E305" s="85">
        <f>_xlfn.XLOOKUP($A305,'Change in Proportion Calc'!$A$5:$A$311,'Change in Proportion Calc'!N$5:N$311,,0,)</f>
        <v>-4827</v>
      </c>
      <c r="F305" s="85">
        <f>_xlfn.XLOOKUP($A305,'Change in Proportion Calc'!$A$5:$A$311,'Change in Proportion Calc'!O$5:O$311,,0,)</f>
        <v>-4827</v>
      </c>
      <c r="G305" s="85">
        <f>_xlfn.XLOOKUP($A305,'Change in Proportion Calc'!$A$5:$A$311,'Change in Proportion Calc'!P$5:P$311,,0,)</f>
        <v>-4490</v>
      </c>
      <c r="H305" s="228"/>
      <c r="I305" s="85">
        <v>6752</v>
      </c>
      <c r="J305" s="85">
        <v>6752</v>
      </c>
      <c r="K305" s="85">
        <v>6752</v>
      </c>
      <c r="L305" s="85">
        <v>6752</v>
      </c>
      <c r="M305" s="85">
        <v>5873</v>
      </c>
      <c r="N305" s="85"/>
      <c r="O305" s="85">
        <v>2707</v>
      </c>
      <c r="P305" s="85">
        <v>2707</v>
      </c>
      <c r="Q305" s="85">
        <v>2707</v>
      </c>
      <c r="R305" s="85">
        <v>2411</v>
      </c>
      <c r="S305" s="228"/>
      <c r="T305" s="85">
        <v>3240</v>
      </c>
      <c r="U305" s="85">
        <v>3240</v>
      </c>
      <c r="V305" s="85">
        <v>3173</v>
      </c>
      <c r="W305" s="228"/>
      <c r="X305" s="243">
        <v>15199</v>
      </c>
      <c r="Y305" s="244">
        <v>14894</v>
      </c>
      <c r="Z305" s="62"/>
      <c r="AA305" s="141">
        <v>-1737</v>
      </c>
      <c r="AD305" s="244">
        <f>VLOOKUP(A305,'Change in Proportion Calc'!$A$5:$H$311,8,FALSE)+SUMIF($C$5:$AB$5,2025,C305:AB305)</f>
        <v>21334</v>
      </c>
      <c r="AF305" s="243">
        <f t="shared" si="36"/>
        <v>55261</v>
      </c>
      <c r="AG305" s="243">
        <f t="shared" si="37"/>
        <v>23798</v>
      </c>
      <c r="AI305" s="243">
        <f>VLOOKUP(A305,'OPEB Amounts_Report'!$A$10:$G$324,7,FALSE)</f>
        <v>55261</v>
      </c>
      <c r="AJ305" s="244">
        <f t="shared" si="44"/>
        <v>0</v>
      </c>
      <c r="AK305" s="244"/>
      <c r="AL305" s="354">
        <f t="shared" si="38"/>
        <v>2800</v>
      </c>
      <c r="AM305" s="243">
        <f t="shared" si="39"/>
        <v>22766</v>
      </c>
      <c r="AN305" s="243">
        <f t="shared" si="40"/>
        <v>7805</v>
      </c>
      <c r="AO305" s="243">
        <f t="shared" si="41"/>
        <v>4336</v>
      </c>
      <c r="AP305" s="243">
        <f t="shared" si="42"/>
        <v>1046</v>
      </c>
      <c r="AQ305" s="243">
        <f t="shared" si="43"/>
        <v>-4490</v>
      </c>
    </row>
    <row r="306" spans="1:43">
      <c r="A306" s="61">
        <v>20317</v>
      </c>
      <c r="B306" s="62" t="s">
        <v>288</v>
      </c>
      <c r="C306" s="85">
        <f>_xlfn.XLOOKUP($A306,'Change in Proportion Calc'!$A$5:$A$311,'Change in Proportion Calc'!L$5:L$311,,0,)</f>
        <v>-19984</v>
      </c>
      <c r="D306" s="85">
        <f>_xlfn.XLOOKUP($A306,'Change in Proportion Calc'!$A$5:$A$311,'Change in Proportion Calc'!M$5:M$311,,0,)</f>
        <v>-19984</v>
      </c>
      <c r="E306" s="85">
        <f>_xlfn.XLOOKUP($A306,'Change in Proportion Calc'!$A$5:$A$311,'Change in Proportion Calc'!N$5:N$311,,0,)</f>
        <v>-19984</v>
      </c>
      <c r="F306" s="85">
        <f>_xlfn.XLOOKUP($A306,'Change in Proportion Calc'!$A$5:$A$311,'Change in Proportion Calc'!O$5:O$311,,0,)</f>
        <v>-19984</v>
      </c>
      <c r="G306" s="85">
        <f>_xlfn.XLOOKUP($A306,'Change in Proportion Calc'!$A$5:$A$311,'Change in Proportion Calc'!P$5:P$311,,0,)</f>
        <v>-18587</v>
      </c>
      <c r="H306" s="228"/>
      <c r="I306" s="85">
        <v>4880</v>
      </c>
      <c r="J306" s="85">
        <v>4880</v>
      </c>
      <c r="K306" s="85">
        <v>4880</v>
      </c>
      <c r="L306" s="85">
        <v>4880</v>
      </c>
      <c r="M306" s="85">
        <v>4248</v>
      </c>
      <c r="N306" s="85"/>
      <c r="O306" s="85">
        <v>28652</v>
      </c>
      <c r="P306" s="85">
        <v>28652</v>
      </c>
      <c r="Q306" s="85">
        <v>28652</v>
      </c>
      <c r="R306" s="85">
        <v>25498</v>
      </c>
      <c r="S306" s="228"/>
      <c r="T306" s="85">
        <v>-30047</v>
      </c>
      <c r="U306" s="85">
        <v>-30047</v>
      </c>
      <c r="V306" s="85">
        <v>-29447</v>
      </c>
      <c r="W306" s="228"/>
      <c r="X306" s="243">
        <v>25332</v>
      </c>
      <c r="Y306" s="244">
        <v>24823</v>
      </c>
      <c r="Z306" s="62"/>
      <c r="AA306" s="141">
        <v>2483</v>
      </c>
      <c r="AD306" s="244">
        <f>VLOOKUP(A306,'Change in Proportion Calc'!$A$5:$H$311,8,FALSE)+SUMIF($C$5:$AB$5,2025,C306:AB306)</f>
        <v>11316</v>
      </c>
      <c r="AF306" s="243">
        <f t="shared" si="36"/>
        <v>126513</v>
      </c>
      <c r="AG306" s="243">
        <f t="shared" si="37"/>
        <v>158017</v>
      </c>
      <c r="AI306" s="243">
        <f>VLOOKUP(A306,'OPEB Amounts_Report'!$A$10:$G$324,7,FALSE)</f>
        <v>126513</v>
      </c>
      <c r="AJ306" s="244">
        <f t="shared" si="44"/>
        <v>0</v>
      </c>
      <c r="AK306" s="244"/>
      <c r="AL306" s="354">
        <f t="shared" si="38"/>
        <v>20317</v>
      </c>
      <c r="AM306" s="243">
        <f t="shared" si="39"/>
        <v>8324</v>
      </c>
      <c r="AN306" s="243">
        <f t="shared" si="40"/>
        <v>-15899</v>
      </c>
      <c r="AO306" s="243">
        <f t="shared" si="41"/>
        <v>10394</v>
      </c>
      <c r="AP306" s="243">
        <f t="shared" si="42"/>
        <v>-15736</v>
      </c>
      <c r="AQ306" s="243">
        <f t="shared" si="43"/>
        <v>-18587</v>
      </c>
    </row>
    <row r="307" spans="1:43">
      <c r="A307" s="59">
        <v>30090</v>
      </c>
      <c r="B307" s="63" t="s">
        <v>289</v>
      </c>
      <c r="C307" s="85">
        <f>_xlfn.XLOOKUP($A307,'Change in Proportion Calc'!$A$5:$A$311,'Change in Proportion Calc'!L$5:L$311,,0,)</f>
        <v>-8841</v>
      </c>
      <c r="D307" s="85">
        <f>_xlfn.XLOOKUP($A307,'Change in Proportion Calc'!$A$5:$A$311,'Change in Proportion Calc'!M$5:M$311,,0,)</f>
        <v>-8841</v>
      </c>
      <c r="E307" s="85">
        <f>_xlfn.XLOOKUP($A307,'Change in Proportion Calc'!$A$5:$A$311,'Change in Proportion Calc'!N$5:N$311,,0,)</f>
        <v>-8841</v>
      </c>
      <c r="F307" s="85">
        <f>_xlfn.XLOOKUP($A307,'Change in Proportion Calc'!$A$5:$A$311,'Change in Proportion Calc'!O$5:O$311,,0,)</f>
        <v>-8841</v>
      </c>
      <c r="G307" s="85">
        <f>_xlfn.XLOOKUP($A307,'Change in Proportion Calc'!$A$5:$A$311,'Change in Proportion Calc'!P$5:P$311,,0,)</f>
        <v>-8222</v>
      </c>
      <c r="H307" s="228"/>
      <c r="I307" s="85">
        <v>15639</v>
      </c>
      <c r="J307" s="85">
        <v>15639</v>
      </c>
      <c r="K307" s="85">
        <v>15639</v>
      </c>
      <c r="L307" s="85">
        <v>15639</v>
      </c>
      <c r="M307" s="85">
        <v>13606</v>
      </c>
      <c r="N307" s="85"/>
      <c r="O307" s="85">
        <v>-36998</v>
      </c>
      <c r="P307" s="85">
        <v>-36998</v>
      </c>
      <c r="Q307" s="85">
        <v>-36998</v>
      </c>
      <c r="R307" s="85">
        <v>-32927</v>
      </c>
      <c r="S307" s="228"/>
      <c r="T307" s="85">
        <v>31100</v>
      </c>
      <c r="U307" s="85">
        <v>31100</v>
      </c>
      <c r="V307" s="85">
        <v>30478</v>
      </c>
      <c r="W307" s="228"/>
      <c r="X307" s="243">
        <v>16830</v>
      </c>
      <c r="Y307" s="244">
        <v>16495</v>
      </c>
      <c r="Z307" s="62"/>
      <c r="AA307" s="141">
        <v>-16020</v>
      </c>
      <c r="AD307" s="244">
        <f>VLOOKUP(A307,'Change in Proportion Calc'!$A$5:$H$311,8,FALSE)+SUMIF($C$5:$AB$5,2025,C307:AB307)</f>
        <v>1710</v>
      </c>
      <c r="AF307" s="243">
        <f t="shared" si="36"/>
        <v>138596</v>
      </c>
      <c r="AG307" s="243">
        <f t="shared" si="37"/>
        <v>150509</v>
      </c>
      <c r="AI307" s="243">
        <f>VLOOKUP(A307,'OPEB Amounts_Report'!$A$10:$G$324,7,FALSE)</f>
        <v>138596</v>
      </c>
      <c r="AJ307" s="244">
        <f t="shared" si="44"/>
        <v>0</v>
      </c>
      <c r="AK307" s="244"/>
      <c r="AL307" s="354">
        <f t="shared" si="38"/>
        <v>30090</v>
      </c>
      <c r="AM307" s="243">
        <f t="shared" si="39"/>
        <v>17395</v>
      </c>
      <c r="AN307" s="243">
        <f t="shared" si="40"/>
        <v>278</v>
      </c>
      <c r="AO307" s="243">
        <f t="shared" si="41"/>
        <v>-26129</v>
      </c>
      <c r="AP307" s="243">
        <f t="shared" si="42"/>
        <v>4765</v>
      </c>
      <c r="AQ307" s="243">
        <f t="shared" si="43"/>
        <v>-8222</v>
      </c>
    </row>
    <row r="308" spans="1:43">
      <c r="A308" s="61">
        <v>29330</v>
      </c>
      <c r="B308" s="62" t="s">
        <v>290</v>
      </c>
      <c r="C308" s="85">
        <f>_xlfn.XLOOKUP($A308,'Change in Proportion Calc'!$A$5:$A$311,'Change in Proportion Calc'!L$5:L$311,,0,)</f>
        <v>2737</v>
      </c>
      <c r="D308" s="85">
        <f>_xlfn.XLOOKUP($A308,'Change in Proportion Calc'!$A$5:$A$311,'Change in Proportion Calc'!M$5:M$311,,0,)</f>
        <v>2737</v>
      </c>
      <c r="E308" s="85">
        <f>_xlfn.XLOOKUP($A308,'Change in Proportion Calc'!$A$5:$A$311,'Change in Proportion Calc'!N$5:N$311,,0,)</f>
        <v>2737</v>
      </c>
      <c r="F308" s="85">
        <f>_xlfn.XLOOKUP($A308,'Change in Proportion Calc'!$A$5:$A$311,'Change in Proportion Calc'!O$5:O$311,,0,)</f>
        <v>2737</v>
      </c>
      <c r="G308" s="85">
        <f>_xlfn.XLOOKUP($A308,'Change in Proportion Calc'!$A$5:$A$311,'Change in Proportion Calc'!P$5:P$311,,0,)</f>
        <v>2545</v>
      </c>
      <c r="H308" s="228"/>
      <c r="I308" s="85">
        <v>12034</v>
      </c>
      <c r="J308" s="85">
        <v>12034</v>
      </c>
      <c r="K308" s="85">
        <v>12034</v>
      </c>
      <c r="L308" s="85">
        <v>12034</v>
      </c>
      <c r="M308" s="85">
        <v>10469</v>
      </c>
      <c r="N308" s="85"/>
      <c r="O308" s="85">
        <v>1578</v>
      </c>
      <c r="P308" s="85">
        <v>1578</v>
      </c>
      <c r="Q308" s="85">
        <v>1578</v>
      </c>
      <c r="R308" s="85">
        <v>1404</v>
      </c>
      <c r="S308" s="228"/>
      <c r="T308" s="85">
        <v>-9800</v>
      </c>
      <c r="U308" s="85">
        <v>-9800</v>
      </c>
      <c r="V308" s="85">
        <v>-9602</v>
      </c>
      <c r="W308" s="228"/>
      <c r="X308" s="243">
        <v>-1632</v>
      </c>
      <c r="Y308" s="244">
        <v>-1597</v>
      </c>
      <c r="Z308" s="62"/>
      <c r="AA308" s="141">
        <v>3353</v>
      </c>
      <c r="AD308" s="244">
        <f>VLOOKUP(A308,'Change in Proportion Calc'!$A$5:$H$311,8,FALSE)+SUMIF($C$5:$AB$5,2025,C308:AB308)</f>
        <v>8270</v>
      </c>
      <c r="AF308" s="243">
        <f t="shared" si="36"/>
        <v>64624</v>
      </c>
      <c r="AG308" s="243">
        <f t="shared" si="37"/>
        <v>20999</v>
      </c>
      <c r="AI308" s="243">
        <f>VLOOKUP(A308,'OPEB Amounts_Report'!$A$10:$G$324,7,FALSE)</f>
        <v>64624</v>
      </c>
      <c r="AJ308" s="244">
        <f t="shared" si="44"/>
        <v>0</v>
      </c>
      <c r="AK308" s="244"/>
      <c r="AL308" s="354">
        <f t="shared" si="38"/>
        <v>29330</v>
      </c>
      <c r="AM308" s="243">
        <f t="shared" si="39"/>
        <v>4952</v>
      </c>
      <c r="AN308" s="243">
        <f t="shared" si="40"/>
        <v>6747</v>
      </c>
      <c r="AO308" s="243">
        <f t="shared" si="41"/>
        <v>16175</v>
      </c>
      <c r="AP308" s="243">
        <f t="shared" si="42"/>
        <v>13206</v>
      </c>
      <c r="AQ308" s="243">
        <f t="shared" si="43"/>
        <v>2545</v>
      </c>
    </row>
    <row r="309" spans="1:43">
      <c r="A309" s="59">
        <v>12038</v>
      </c>
      <c r="B309" s="63" t="s">
        <v>291</v>
      </c>
      <c r="C309" s="85">
        <f>_xlfn.XLOOKUP($A309,'Change in Proportion Calc'!$A$5:$A$311,'Change in Proportion Calc'!L$5:L$311,,0,)</f>
        <v>-69066</v>
      </c>
      <c r="D309" s="85">
        <f>_xlfn.XLOOKUP($A309,'Change in Proportion Calc'!$A$5:$A$311,'Change in Proportion Calc'!M$5:M$311,,0,)</f>
        <v>-69066</v>
      </c>
      <c r="E309" s="85">
        <f>_xlfn.XLOOKUP($A309,'Change in Proportion Calc'!$A$5:$A$311,'Change in Proportion Calc'!N$5:N$311,,0,)</f>
        <v>-69066</v>
      </c>
      <c r="F309" s="85">
        <f>_xlfn.XLOOKUP($A309,'Change in Proportion Calc'!$A$5:$A$311,'Change in Proportion Calc'!O$5:O$311,,0,)</f>
        <v>-69066</v>
      </c>
      <c r="G309" s="85">
        <f>_xlfn.XLOOKUP($A309,'Change in Proportion Calc'!$A$5:$A$311,'Change in Proportion Calc'!P$5:P$311,,0,)</f>
        <v>-64232</v>
      </c>
      <c r="H309" s="228"/>
      <c r="I309" s="85">
        <v>-9198</v>
      </c>
      <c r="J309" s="85">
        <v>-9198</v>
      </c>
      <c r="K309" s="85">
        <v>-9198</v>
      </c>
      <c r="L309" s="85">
        <v>-9198</v>
      </c>
      <c r="M309" s="85">
        <v>-8001</v>
      </c>
      <c r="N309" s="85"/>
      <c r="O309" s="85">
        <v>13036</v>
      </c>
      <c r="P309" s="85">
        <v>13036</v>
      </c>
      <c r="Q309" s="85">
        <v>13036</v>
      </c>
      <c r="R309" s="85">
        <v>11601</v>
      </c>
      <c r="S309" s="228"/>
      <c r="T309" s="85">
        <v>130150</v>
      </c>
      <c r="U309" s="85">
        <v>130150</v>
      </c>
      <c r="V309" s="85">
        <v>127547</v>
      </c>
      <c r="W309" s="228"/>
      <c r="X309" s="243">
        <v>97547</v>
      </c>
      <c r="Y309" s="244">
        <v>95598</v>
      </c>
      <c r="Z309" s="62"/>
      <c r="AA309" s="141">
        <v>33283</v>
      </c>
      <c r="AD309" s="244">
        <f>VLOOKUP(A309,'Change in Proportion Calc'!$A$5:$H$311,8,FALSE)+SUMIF($C$5:$AB$5,2025,C309:AB309)</f>
        <v>195752</v>
      </c>
      <c r="AF309" s="243">
        <f t="shared" si="36"/>
        <v>390968</v>
      </c>
      <c r="AG309" s="243">
        <f t="shared" si="37"/>
        <v>376091</v>
      </c>
      <c r="AI309" s="243">
        <f>VLOOKUP(A309,'OPEB Amounts_Report'!$A$10:$G$324,7,FALSE)</f>
        <v>390968</v>
      </c>
      <c r="AJ309" s="244">
        <f t="shared" si="44"/>
        <v>0</v>
      </c>
      <c r="AK309" s="244"/>
      <c r="AL309" s="354">
        <f t="shared" si="38"/>
        <v>12038</v>
      </c>
      <c r="AM309" s="243">
        <f t="shared" si="39"/>
        <v>160520</v>
      </c>
      <c r="AN309" s="243">
        <f t="shared" si="40"/>
        <v>62319</v>
      </c>
      <c r="AO309" s="243">
        <f t="shared" si="41"/>
        <v>-66663</v>
      </c>
      <c r="AP309" s="243">
        <f t="shared" si="42"/>
        <v>-77067</v>
      </c>
      <c r="AQ309" s="243">
        <f t="shared" si="43"/>
        <v>-64232</v>
      </c>
    </row>
    <row r="310" spans="1:43">
      <c r="A310" s="61">
        <v>8099</v>
      </c>
      <c r="B310" s="62" t="s">
        <v>292</v>
      </c>
      <c r="C310" s="85">
        <f>_xlfn.XLOOKUP($A310,'Change in Proportion Calc'!$A$5:$A$311,'Change in Proportion Calc'!L$5:L$311,,0,)</f>
        <v>-6464</v>
      </c>
      <c r="D310" s="85">
        <f>_xlfn.XLOOKUP($A310,'Change in Proportion Calc'!$A$5:$A$311,'Change in Proportion Calc'!M$5:M$311,,0,)</f>
        <v>-6464</v>
      </c>
      <c r="E310" s="85">
        <f>_xlfn.XLOOKUP($A310,'Change in Proportion Calc'!$A$5:$A$311,'Change in Proportion Calc'!N$5:N$311,,0,)</f>
        <v>-6464</v>
      </c>
      <c r="F310" s="85">
        <f>_xlfn.XLOOKUP($A310,'Change in Proportion Calc'!$A$5:$A$311,'Change in Proportion Calc'!O$5:O$311,,0,)</f>
        <v>-6464</v>
      </c>
      <c r="G310" s="85">
        <f>_xlfn.XLOOKUP($A310,'Change in Proportion Calc'!$A$5:$A$311,'Change in Proportion Calc'!P$5:P$311,,0,)</f>
        <v>-6012</v>
      </c>
      <c r="H310" s="228"/>
      <c r="I310" s="85">
        <v>58100</v>
      </c>
      <c r="J310" s="85">
        <v>58100</v>
      </c>
      <c r="K310" s="85">
        <v>58100</v>
      </c>
      <c r="L310" s="85">
        <v>58100</v>
      </c>
      <c r="M310" s="85">
        <v>50545</v>
      </c>
      <c r="N310" s="85"/>
      <c r="O310" s="85">
        <v>169469</v>
      </c>
      <c r="P310" s="85">
        <v>169469</v>
      </c>
      <c r="Q310" s="85">
        <v>169469</v>
      </c>
      <c r="R310" s="85">
        <v>150828</v>
      </c>
      <c r="S310" s="228"/>
      <c r="T310" s="85">
        <v>47460</v>
      </c>
      <c r="U310" s="85">
        <v>47460</v>
      </c>
      <c r="V310" s="85">
        <v>46510</v>
      </c>
      <c r="W310" s="228"/>
      <c r="X310" s="243">
        <v>-146664</v>
      </c>
      <c r="Y310" s="244">
        <v>-143733</v>
      </c>
      <c r="Z310" s="62"/>
      <c r="AA310" s="141">
        <v>-38995</v>
      </c>
      <c r="AD310" s="244">
        <f>VLOOKUP(A310,'Change in Proportion Calc'!$A$5:$H$311,8,FALSE)+SUMIF($C$5:$AB$5,2025,C310:AB310)</f>
        <v>82906</v>
      </c>
      <c r="AF310" s="243">
        <f t="shared" si="36"/>
        <v>808581</v>
      </c>
      <c r="AG310" s="243">
        <f t="shared" si="37"/>
        <v>175601</v>
      </c>
      <c r="AI310" s="243">
        <f>VLOOKUP(A310,'OPEB Amounts_Report'!$A$10:$G$324,7,FALSE)</f>
        <v>808581</v>
      </c>
      <c r="AJ310" s="244">
        <f t="shared" si="44"/>
        <v>0</v>
      </c>
      <c r="AK310" s="244"/>
      <c r="AL310" s="354">
        <f t="shared" si="38"/>
        <v>8099</v>
      </c>
      <c r="AM310" s="243">
        <f t="shared" si="39"/>
        <v>124832</v>
      </c>
      <c r="AN310" s="243">
        <f t="shared" si="40"/>
        <v>267615</v>
      </c>
      <c r="AO310" s="243">
        <f t="shared" si="41"/>
        <v>202464</v>
      </c>
      <c r="AP310" s="243">
        <f t="shared" si="42"/>
        <v>44081</v>
      </c>
      <c r="AQ310" s="243">
        <f t="shared" si="43"/>
        <v>-6012</v>
      </c>
    </row>
    <row r="311" spans="1:43" s="191" customFormat="1">
      <c r="A311" s="227">
        <v>2442</v>
      </c>
      <c r="B311" s="228" t="s">
        <v>426</v>
      </c>
      <c r="C311" s="85">
        <f>_xlfn.XLOOKUP($A311,'Change in Proportion Calc'!$A$5:$A$311,'Change in Proportion Calc'!L$5:L$311,,0,)</f>
        <v>28945</v>
      </c>
      <c r="D311" s="85">
        <f>_xlfn.XLOOKUP($A311,'Change in Proportion Calc'!$A$5:$A$311,'Change in Proportion Calc'!M$5:M$311,,0,)</f>
        <v>28945</v>
      </c>
      <c r="E311" s="85">
        <f>_xlfn.XLOOKUP($A311,'Change in Proportion Calc'!$A$5:$A$311,'Change in Proportion Calc'!N$5:N$311,,0,)</f>
        <v>28945</v>
      </c>
      <c r="F311" s="85">
        <f>_xlfn.XLOOKUP($A311,'Change in Proportion Calc'!$A$5:$A$311,'Change in Proportion Calc'!O$5:O$311,,0,)</f>
        <v>28945</v>
      </c>
      <c r="G311" s="85">
        <f>_xlfn.XLOOKUP($A311,'Change in Proportion Calc'!$A$5:$A$311,'Change in Proportion Calc'!P$5:P$311,,0,)</f>
        <v>26920</v>
      </c>
      <c r="H311" s="228"/>
      <c r="I311" s="85">
        <v>21094</v>
      </c>
      <c r="J311" s="85">
        <v>21094</v>
      </c>
      <c r="K311" s="85">
        <v>21094</v>
      </c>
      <c r="L311" s="85">
        <v>21094</v>
      </c>
      <c r="M311" s="85">
        <v>18353</v>
      </c>
      <c r="N311" s="85"/>
      <c r="O311" s="85">
        <v>30871</v>
      </c>
      <c r="P311" s="85">
        <v>30871</v>
      </c>
      <c r="Q311" s="85">
        <v>30871</v>
      </c>
      <c r="R311" s="85">
        <v>27474</v>
      </c>
      <c r="S311" s="228"/>
      <c r="T311" s="85">
        <v>13525</v>
      </c>
      <c r="U311" s="85">
        <v>13525</v>
      </c>
      <c r="V311" s="85">
        <v>13256</v>
      </c>
      <c r="W311" s="228"/>
      <c r="X311" s="243">
        <v>0</v>
      </c>
      <c r="Y311" s="243">
        <v>0</v>
      </c>
      <c r="Z311" s="228"/>
      <c r="AA311" s="243">
        <v>0</v>
      </c>
      <c r="AD311" s="244">
        <f>VLOOKUP(A311,'Change in Proportion Calc'!$A$5:$H$311,8,FALSE)+SUMIF($C$5:$AB$5,2025,C311:AB311)</f>
        <v>94435</v>
      </c>
      <c r="AF311" s="243">
        <f t="shared" si="36"/>
        <v>340332</v>
      </c>
      <c r="AG311" s="243">
        <f t="shared" si="37"/>
        <v>0</v>
      </c>
      <c r="AI311" s="243">
        <f>VLOOKUP(A311,'OPEB Amounts_Report'!$A$10:$G$324,7,FALSE)</f>
        <v>340332</v>
      </c>
      <c r="AJ311" s="244">
        <f t="shared" si="44"/>
        <v>0</v>
      </c>
      <c r="AK311" s="244"/>
      <c r="AL311" s="354">
        <f t="shared" si="38"/>
        <v>2442</v>
      </c>
      <c r="AM311" s="243">
        <f t="shared" si="39"/>
        <v>94435</v>
      </c>
      <c r="AN311" s="243">
        <f t="shared" si="40"/>
        <v>94166</v>
      </c>
      <c r="AO311" s="243">
        <f t="shared" si="41"/>
        <v>77513</v>
      </c>
      <c r="AP311" s="243">
        <f t="shared" si="42"/>
        <v>47298</v>
      </c>
      <c r="AQ311" s="243">
        <f t="shared" si="43"/>
        <v>26920</v>
      </c>
    </row>
    <row r="312" spans="1:43">
      <c r="A312" s="59">
        <v>2417</v>
      </c>
      <c r="B312" s="63" t="s">
        <v>293</v>
      </c>
      <c r="C312" s="85">
        <f>_xlfn.XLOOKUP($A312,'Change in Proportion Calc'!$A$5:$A$311,'Change in Proportion Calc'!L$5:L$311,,0,)</f>
        <v>-901</v>
      </c>
      <c r="D312" s="85">
        <f>_xlfn.XLOOKUP($A312,'Change in Proportion Calc'!$A$5:$A$311,'Change in Proportion Calc'!M$5:M$311,,0,)</f>
        <v>-901</v>
      </c>
      <c r="E312" s="85">
        <f>_xlfn.XLOOKUP($A312,'Change in Proportion Calc'!$A$5:$A$311,'Change in Proportion Calc'!N$5:N$311,,0,)</f>
        <v>-901</v>
      </c>
      <c r="F312" s="85">
        <f>_xlfn.XLOOKUP($A312,'Change in Proportion Calc'!$A$5:$A$311,'Change in Proportion Calc'!O$5:O$311,,0,)</f>
        <v>-901</v>
      </c>
      <c r="G312" s="85">
        <f>_xlfn.XLOOKUP($A312,'Change in Proportion Calc'!$A$5:$A$311,'Change in Proportion Calc'!P$5:P$311,,0,)</f>
        <v>-835</v>
      </c>
      <c r="H312" s="228"/>
      <c r="I312" s="85">
        <v>-2326</v>
      </c>
      <c r="J312" s="85">
        <v>-2326</v>
      </c>
      <c r="K312" s="85">
        <v>-2326</v>
      </c>
      <c r="L312" s="85">
        <v>-2326</v>
      </c>
      <c r="M312" s="85">
        <v>-2022</v>
      </c>
      <c r="N312" s="85"/>
      <c r="O312" s="85">
        <v>2701</v>
      </c>
      <c r="P312" s="85">
        <v>2701</v>
      </c>
      <c r="Q312" s="85">
        <v>2701</v>
      </c>
      <c r="R312" s="85">
        <v>2405</v>
      </c>
      <c r="S312" s="228"/>
      <c r="T312" s="85">
        <v>5507</v>
      </c>
      <c r="U312" s="85">
        <v>5507</v>
      </c>
      <c r="V312" s="85">
        <v>5399</v>
      </c>
      <c r="W312" s="228"/>
      <c r="X312" s="243">
        <v>-2061</v>
      </c>
      <c r="Y312" s="244">
        <v>-2019</v>
      </c>
      <c r="Z312" s="62"/>
      <c r="AA312" s="141">
        <v>5463</v>
      </c>
      <c r="AD312" s="244">
        <f>VLOOKUP(A312,'Change in Proportion Calc'!$A$5:$H$311,8,FALSE)+SUMIF($C$5:$AB$5,2025,C312:AB312)</f>
        <v>8383</v>
      </c>
      <c r="AF312" s="243">
        <f t="shared" si="36"/>
        <v>18713</v>
      </c>
      <c r="AG312" s="243">
        <f t="shared" si="37"/>
        <v>15458</v>
      </c>
      <c r="AI312" s="243">
        <f>VLOOKUP(A312,'OPEB Amounts_Report'!$A$10:$G$324,7,FALSE)</f>
        <v>18713</v>
      </c>
      <c r="AJ312" s="244">
        <f t="shared" si="44"/>
        <v>0</v>
      </c>
      <c r="AK312" s="244"/>
      <c r="AL312" s="354">
        <f t="shared" si="38"/>
        <v>2417</v>
      </c>
      <c r="AM312" s="243">
        <f t="shared" si="39"/>
        <v>2962</v>
      </c>
      <c r="AN312" s="243">
        <f t="shared" si="40"/>
        <v>4873</v>
      </c>
      <c r="AO312" s="243">
        <f t="shared" si="41"/>
        <v>-822</v>
      </c>
      <c r="AP312" s="243">
        <f t="shared" si="42"/>
        <v>-2923</v>
      </c>
      <c r="AQ312" s="243">
        <f t="shared" si="43"/>
        <v>-835</v>
      </c>
    </row>
    <row r="313" spans="1:43">
      <c r="A313" s="61">
        <v>13142</v>
      </c>
      <c r="B313" s="62" t="s">
        <v>294</v>
      </c>
      <c r="C313" s="85">
        <f>_xlfn.XLOOKUP($A313,'Change in Proportion Calc'!$A$5:$A$311,'Change in Proportion Calc'!L$5:L$311,,0,)</f>
        <v>-8076</v>
      </c>
      <c r="D313" s="85">
        <f>_xlfn.XLOOKUP($A313,'Change in Proportion Calc'!$A$5:$A$311,'Change in Proportion Calc'!M$5:M$311,,0,)</f>
        <v>-8076</v>
      </c>
      <c r="E313" s="85">
        <f>_xlfn.XLOOKUP($A313,'Change in Proportion Calc'!$A$5:$A$311,'Change in Proportion Calc'!N$5:N$311,,0,)</f>
        <v>-8076</v>
      </c>
      <c r="F313" s="85">
        <f>_xlfn.XLOOKUP($A313,'Change in Proportion Calc'!$A$5:$A$311,'Change in Proportion Calc'!O$5:O$311,,0,)</f>
        <v>-8076</v>
      </c>
      <c r="G313" s="85">
        <f>_xlfn.XLOOKUP($A313,'Change in Proportion Calc'!$A$5:$A$311,'Change in Proportion Calc'!P$5:P$311,,0,)</f>
        <v>-7508</v>
      </c>
      <c r="H313" s="228"/>
      <c r="I313" s="85">
        <v>-13189</v>
      </c>
      <c r="J313" s="85">
        <v>-13189</v>
      </c>
      <c r="K313" s="85">
        <v>-13189</v>
      </c>
      <c r="L313" s="85">
        <v>-13189</v>
      </c>
      <c r="M313" s="85">
        <v>-11476</v>
      </c>
      <c r="N313" s="85"/>
      <c r="O313" s="85">
        <v>213340</v>
      </c>
      <c r="P313" s="85">
        <v>213340</v>
      </c>
      <c r="Q313" s="85">
        <v>213340</v>
      </c>
      <c r="R313" s="85">
        <v>189873</v>
      </c>
      <c r="S313" s="228"/>
      <c r="T313" s="85">
        <v>-52886</v>
      </c>
      <c r="U313" s="85">
        <v>-52886</v>
      </c>
      <c r="V313" s="85">
        <v>-51829</v>
      </c>
      <c r="W313" s="228"/>
      <c r="X313" s="243">
        <v>26448</v>
      </c>
      <c r="Y313" s="244">
        <v>25917</v>
      </c>
      <c r="Z313" s="62"/>
      <c r="AA313" s="141">
        <v>25831</v>
      </c>
      <c r="AD313" s="244">
        <f>VLOOKUP(A313,'Change in Proportion Calc'!$A$5:$H$311,8,FALSE)+SUMIF($C$5:$AB$5,2025,C313:AB313)</f>
        <v>191468</v>
      </c>
      <c r="AF313" s="243">
        <f t="shared" si="36"/>
        <v>642470</v>
      </c>
      <c r="AG313" s="243">
        <f t="shared" si="37"/>
        <v>195570</v>
      </c>
      <c r="AI313" s="243">
        <f>VLOOKUP(A313,'OPEB Amounts_Report'!$A$10:$G$324,7,FALSE)</f>
        <v>642470</v>
      </c>
      <c r="AJ313" s="244">
        <f t="shared" si="44"/>
        <v>0</v>
      </c>
      <c r="AK313" s="244"/>
      <c r="AL313" s="354">
        <f t="shared" si="38"/>
        <v>13142</v>
      </c>
      <c r="AM313" s="243">
        <f t="shared" si="39"/>
        <v>165106</v>
      </c>
      <c r="AN313" s="243">
        <f t="shared" si="40"/>
        <v>140246</v>
      </c>
      <c r="AO313" s="243">
        <f t="shared" si="41"/>
        <v>168608</v>
      </c>
      <c r="AP313" s="243">
        <f t="shared" si="42"/>
        <v>-19552</v>
      </c>
      <c r="AQ313" s="243">
        <f t="shared" si="43"/>
        <v>-7508</v>
      </c>
    </row>
    <row r="314" spans="1:43">
      <c r="A314" s="59">
        <v>17425</v>
      </c>
      <c r="B314" s="63" t="s">
        <v>128</v>
      </c>
      <c r="C314" s="85">
        <f>_xlfn.XLOOKUP($A314,'Change in Proportion Calc'!$A$5:$A$311,'Change in Proportion Calc'!L$5:L$311,,0,)</f>
        <v>-64411</v>
      </c>
      <c r="D314" s="85">
        <f>_xlfn.XLOOKUP($A314,'Change in Proportion Calc'!$A$5:$A$311,'Change in Proportion Calc'!M$5:M$311,,0,)</f>
        <v>-64411</v>
      </c>
      <c r="E314" s="85">
        <f>_xlfn.XLOOKUP($A314,'Change in Proportion Calc'!$A$5:$A$311,'Change in Proportion Calc'!N$5:N$311,,0,)</f>
        <v>-64411</v>
      </c>
      <c r="F314" s="85">
        <f>_xlfn.XLOOKUP($A314,'Change in Proportion Calc'!$A$5:$A$311,'Change in Proportion Calc'!O$5:O$311,,0,)</f>
        <v>-64411</v>
      </c>
      <c r="G314" s="85">
        <f>_xlfn.XLOOKUP($A314,'Change in Proportion Calc'!$A$5:$A$311,'Change in Proportion Calc'!P$5:P$311,,0,)</f>
        <v>-59933</v>
      </c>
      <c r="H314" s="228"/>
      <c r="I314" s="85">
        <v>18891</v>
      </c>
      <c r="J314" s="85">
        <v>18891</v>
      </c>
      <c r="K314" s="85">
        <v>18891</v>
      </c>
      <c r="L314" s="85">
        <v>18891</v>
      </c>
      <c r="M314" s="85">
        <v>16437</v>
      </c>
      <c r="N314" s="85"/>
      <c r="O314" s="85">
        <v>24015</v>
      </c>
      <c r="P314" s="85">
        <v>24015</v>
      </c>
      <c r="Q314" s="85">
        <v>24015</v>
      </c>
      <c r="R314" s="85">
        <v>21371</v>
      </c>
      <c r="S314" s="228"/>
      <c r="T314" s="85">
        <v>-29804</v>
      </c>
      <c r="U314" s="85">
        <v>-29804</v>
      </c>
      <c r="V314" s="85">
        <v>-29209</v>
      </c>
      <c r="W314" s="228"/>
      <c r="X314" s="243">
        <v>-8673</v>
      </c>
      <c r="Y314" s="244">
        <v>-8498</v>
      </c>
      <c r="Z314" s="62"/>
      <c r="AA314" s="141">
        <v>-12107</v>
      </c>
      <c r="AD314" s="244">
        <f>VLOOKUP(A314,'Change in Proportion Calc'!$A$5:$H$311,8,FALSE)+SUMIF($C$5:$AB$5,2025,C314:AB314)</f>
        <v>-72089</v>
      </c>
      <c r="AF314" s="243">
        <f t="shared" si="36"/>
        <v>142511</v>
      </c>
      <c r="AG314" s="243">
        <f t="shared" si="37"/>
        <v>385088</v>
      </c>
      <c r="AI314" s="243">
        <f>VLOOKUP(A314,'OPEB Amounts_Report'!$A$10:$G$324,7,FALSE)</f>
        <v>142511</v>
      </c>
      <c r="AJ314" s="244">
        <f t="shared" si="44"/>
        <v>0</v>
      </c>
      <c r="AK314" s="244"/>
      <c r="AL314" s="354">
        <f t="shared" si="38"/>
        <v>17425</v>
      </c>
      <c r="AM314" s="243">
        <f t="shared" si="39"/>
        <v>-59807</v>
      </c>
      <c r="AN314" s="243">
        <f t="shared" si="40"/>
        <v>-50714</v>
      </c>
      <c r="AO314" s="243">
        <f t="shared" si="41"/>
        <v>-24149</v>
      </c>
      <c r="AP314" s="243">
        <f t="shared" si="42"/>
        <v>-47974</v>
      </c>
      <c r="AQ314" s="243">
        <f t="shared" si="43"/>
        <v>-59933</v>
      </c>
    </row>
    <row r="315" spans="1:43" s="191" customFormat="1">
      <c r="A315" s="59">
        <v>4170</v>
      </c>
      <c r="B315" s="63" t="s">
        <v>195</v>
      </c>
      <c r="C315" s="85">
        <v>0</v>
      </c>
      <c r="D315" s="85">
        <v>0</v>
      </c>
      <c r="E315" s="85">
        <v>0</v>
      </c>
      <c r="F315" s="85">
        <v>0</v>
      </c>
      <c r="G315" s="85">
        <v>0</v>
      </c>
      <c r="H315" s="228"/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/>
      <c r="O315" s="85">
        <v>-16107</v>
      </c>
      <c r="P315" s="85">
        <v>-16107</v>
      </c>
      <c r="Q315" s="85">
        <v>-16107</v>
      </c>
      <c r="R315" s="85">
        <v>-14335</v>
      </c>
      <c r="S315" s="228"/>
      <c r="T315" s="85">
        <v>-43734</v>
      </c>
      <c r="U315" s="85">
        <v>-43734</v>
      </c>
      <c r="V315" s="85">
        <v>-42861</v>
      </c>
      <c r="W315" s="228"/>
      <c r="X315" s="243">
        <v>0</v>
      </c>
      <c r="Y315" s="244">
        <v>0</v>
      </c>
      <c r="Z315" s="228"/>
      <c r="AA315" s="244">
        <v>7142</v>
      </c>
      <c r="AD315" s="244">
        <f>+SUMIF($C$5:$AB$5,2025,C315:AB315)</f>
        <v>-52699</v>
      </c>
      <c r="AF315" s="243">
        <f t="shared" si="36"/>
        <v>0</v>
      </c>
      <c r="AG315" s="243">
        <f t="shared" si="37"/>
        <v>133144</v>
      </c>
      <c r="AI315" s="243">
        <f>VLOOKUP(A315,'OPEB Amounts_Report'!$A$10:$G$324,7,FALSE)</f>
        <v>0</v>
      </c>
      <c r="AJ315" s="244">
        <f t="shared" si="44"/>
        <v>0</v>
      </c>
      <c r="AK315" s="244"/>
      <c r="AL315" s="354">
        <f t="shared" si="38"/>
        <v>4170</v>
      </c>
      <c r="AM315" s="243">
        <f t="shared" si="39"/>
        <v>-59841</v>
      </c>
      <c r="AN315" s="243">
        <f t="shared" si="40"/>
        <v>-58968</v>
      </c>
      <c r="AO315" s="243">
        <f t="shared" si="41"/>
        <v>-14335</v>
      </c>
      <c r="AP315" s="243">
        <f t="shared" si="42"/>
        <v>0</v>
      </c>
      <c r="AQ315" s="243">
        <f t="shared" si="43"/>
        <v>0</v>
      </c>
    </row>
    <row r="316" spans="1:43" s="191" customFormat="1">
      <c r="A316" s="61">
        <v>17334</v>
      </c>
      <c r="B316" s="62" t="s">
        <v>427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228"/>
      <c r="I316" s="85">
        <v>0</v>
      </c>
      <c r="J316" s="85">
        <v>0</v>
      </c>
      <c r="K316" s="85">
        <v>0</v>
      </c>
      <c r="L316" s="85">
        <v>0</v>
      </c>
      <c r="M316" s="85">
        <v>0</v>
      </c>
      <c r="N316" s="85"/>
      <c r="O316" s="85">
        <v>0</v>
      </c>
      <c r="P316" s="85">
        <v>0</v>
      </c>
      <c r="Q316" s="85">
        <v>0</v>
      </c>
      <c r="R316" s="85">
        <v>0</v>
      </c>
      <c r="S316" s="228"/>
      <c r="T316" s="85">
        <v>-16846</v>
      </c>
      <c r="U316" s="85">
        <v>-16846</v>
      </c>
      <c r="V316" s="85">
        <v>-16508</v>
      </c>
      <c r="W316" s="228"/>
      <c r="X316" s="243">
        <v>-11764</v>
      </c>
      <c r="Y316" s="244">
        <v>-11529</v>
      </c>
      <c r="Z316" s="62"/>
      <c r="AA316" s="141">
        <v>-3291</v>
      </c>
      <c r="AB316" s="132"/>
      <c r="AC316" s="132"/>
      <c r="AD316" s="244">
        <f t="shared" ref="AD316:AD322" si="45">+SUMIF($C$5:$AB$5,2025,C316:AB316)</f>
        <v>-31901</v>
      </c>
      <c r="AE316" s="132"/>
      <c r="AF316" s="243">
        <f t="shared" si="36"/>
        <v>0</v>
      </c>
      <c r="AG316" s="243">
        <f t="shared" si="37"/>
        <v>44883</v>
      </c>
      <c r="AI316" s="243">
        <f>VLOOKUP(A316,'OPEB Amounts_Report'!$A$10:$G$324,7,FALSE)</f>
        <v>0</v>
      </c>
      <c r="AJ316" s="244">
        <f t="shared" si="44"/>
        <v>0</v>
      </c>
      <c r="AK316" s="244"/>
      <c r="AL316" s="354">
        <f t="shared" si="38"/>
        <v>17334</v>
      </c>
      <c r="AM316" s="243">
        <f t="shared" si="39"/>
        <v>-28375</v>
      </c>
      <c r="AN316" s="243">
        <f t="shared" si="40"/>
        <v>-16508</v>
      </c>
      <c r="AO316" s="243">
        <f t="shared" si="41"/>
        <v>0</v>
      </c>
      <c r="AP316" s="243">
        <f t="shared" si="42"/>
        <v>0</v>
      </c>
      <c r="AQ316" s="243">
        <f t="shared" si="43"/>
        <v>0</v>
      </c>
    </row>
    <row r="317" spans="1:43">
      <c r="A317" s="59">
        <v>2403</v>
      </c>
      <c r="B317" s="63" t="s">
        <v>402</v>
      </c>
      <c r="C317" s="85">
        <v>0</v>
      </c>
      <c r="D317" s="85">
        <v>0</v>
      </c>
      <c r="E317" s="85">
        <v>0</v>
      </c>
      <c r="F317" s="85">
        <v>0</v>
      </c>
      <c r="G317" s="85">
        <v>0</v>
      </c>
      <c r="H317" s="228"/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/>
      <c r="O317" s="85">
        <v>0</v>
      </c>
      <c r="P317" s="85">
        <v>0</v>
      </c>
      <c r="Q317" s="85">
        <v>0</v>
      </c>
      <c r="R317" s="85">
        <v>0</v>
      </c>
      <c r="S317" s="228"/>
      <c r="T317" s="85">
        <v>0</v>
      </c>
      <c r="U317" s="85">
        <v>0</v>
      </c>
      <c r="V317" s="85">
        <v>0</v>
      </c>
      <c r="W317" s="228"/>
      <c r="X317" s="243">
        <v>0</v>
      </c>
      <c r="Y317" s="244">
        <v>0</v>
      </c>
      <c r="Z317" s="62"/>
      <c r="AA317" s="141">
        <v>-47002</v>
      </c>
      <c r="AD317" s="244">
        <f t="shared" si="45"/>
        <v>-47002</v>
      </c>
      <c r="AF317" s="243">
        <f t="shared" si="36"/>
        <v>0</v>
      </c>
      <c r="AG317" s="243">
        <f t="shared" si="37"/>
        <v>0</v>
      </c>
      <c r="AI317" s="243">
        <f>VLOOKUP(A317,'OPEB Amounts_Report'!$A$10:$G$324,7,FALSE)</f>
        <v>0</v>
      </c>
      <c r="AJ317" s="244">
        <f t="shared" si="44"/>
        <v>0</v>
      </c>
      <c r="AK317" s="244"/>
      <c r="AL317" s="354">
        <f t="shared" si="38"/>
        <v>2403</v>
      </c>
      <c r="AM317" s="243">
        <f t="shared" si="39"/>
        <v>0</v>
      </c>
      <c r="AN317" s="243">
        <f t="shared" si="40"/>
        <v>0</v>
      </c>
      <c r="AO317" s="243">
        <f t="shared" si="41"/>
        <v>0</v>
      </c>
      <c r="AP317" s="243">
        <f t="shared" si="42"/>
        <v>0</v>
      </c>
      <c r="AQ317" s="243">
        <f t="shared" si="43"/>
        <v>0</v>
      </c>
    </row>
    <row r="318" spans="1:43">
      <c r="A318" s="61">
        <v>16358</v>
      </c>
      <c r="B318" s="62" t="s">
        <v>403</v>
      </c>
      <c r="C318" s="85">
        <v>0</v>
      </c>
      <c r="D318" s="85">
        <v>0</v>
      </c>
      <c r="E318" s="85">
        <v>0</v>
      </c>
      <c r="F318" s="85">
        <v>0</v>
      </c>
      <c r="G318" s="85">
        <v>0</v>
      </c>
      <c r="H318" s="228"/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/>
      <c r="O318" s="85">
        <v>0</v>
      </c>
      <c r="P318" s="85">
        <v>0</v>
      </c>
      <c r="Q318" s="85">
        <v>0</v>
      </c>
      <c r="R318" s="85">
        <v>0</v>
      </c>
      <c r="S318" s="228"/>
      <c r="T318" s="85">
        <v>0</v>
      </c>
      <c r="U318" s="85">
        <v>0</v>
      </c>
      <c r="V318" s="85">
        <v>0</v>
      </c>
      <c r="W318" s="228"/>
      <c r="X318" s="243">
        <v>0</v>
      </c>
      <c r="Y318" s="244">
        <v>0</v>
      </c>
      <c r="Z318" s="62"/>
      <c r="AA318" s="141">
        <v>-121078</v>
      </c>
      <c r="AD318" s="244">
        <f t="shared" si="45"/>
        <v>-121078</v>
      </c>
      <c r="AF318" s="243">
        <f t="shared" si="36"/>
        <v>0</v>
      </c>
      <c r="AG318" s="243">
        <f t="shared" si="37"/>
        <v>0</v>
      </c>
      <c r="AI318" s="243">
        <f>VLOOKUP(A318,'OPEB Amounts_Report'!$A$10:$G$324,7,FALSE)</f>
        <v>0</v>
      </c>
      <c r="AJ318" s="244">
        <f t="shared" si="44"/>
        <v>0</v>
      </c>
      <c r="AK318" s="244"/>
      <c r="AL318" s="354">
        <f t="shared" si="38"/>
        <v>16358</v>
      </c>
      <c r="AM318" s="243">
        <f t="shared" si="39"/>
        <v>0</v>
      </c>
      <c r="AN318" s="243">
        <f t="shared" si="40"/>
        <v>0</v>
      </c>
      <c r="AO318" s="243">
        <f t="shared" si="41"/>
        <v>0</v>
      </c>
      <c r="AP318" s="243">
        <f t="shared" si="42"/>
        <v>0</v>
      </c>
      <c r="AQ318" s="243">
        <f t="shared" si="43"/>
        <v>0</v>
      </c>
    </row>
    <row r="319" spans="1:43">
      <c r="A319" s="59">
        <v>2357</v>
      </c>
      <c r="B319" s="63" t="s">
        <v>404</v>
      </c>
      <c r="C319" s="85">
        <v>0</v>
      </c>
      <c r="D319" s="85">
        <v>0</v>
      </c>
      <c r="E319" s="85">
        <v>0</v>
      </c>
      <c r="F319" s="85">
        <v>0</v>
      </c>
      <c r="G319" s="85">
        <v>0</v>
      </c>
      <c r="H319" s="228"/>
      <c r="I319" s="85">
        <v>0</v>
      </c>
      <c r="J319" s="85">
        <v>0</v>
      </c>
      <c r="K319" s="85">
        <v>0</v>
      </c>
      <c r="L319" s="85">
        <v>0</v>
      </c>
      <c r="M319" s="85">
        <v>0</v>
      </c>
      <c r="N319" s="85"/>
      <c r="O319" s="85">
        <v>0</v>
      </c>
      <c r="P319" s="85">
        <v>0</v>
      </c>
      <c r="Q319" s="85">
        <v>0</v>
      </c>
      <c r="R319" s="85">
        <v>0</v>
      </c>
      <c r="S319" s="228"/>
      <c r="T319" s="85">
        <v>0</v>
      </c>
      <c r="U319" s="85">
        <v>0</v>
      </c>
      <c r="V319" s="85">
        <v>0</v>
      </c>
      <c r="W319" s="228"/>
      <c r="X319" s="243">
        <v>0</v>
      </c>
      <c r="Y319" s="244">
        <v>0</v>
      </c>
      <c r="Z319" s="62"/>
      <c r="AA319" s="141">
        <v>-56440</v>
      </c>
      <c r="AD319" s="244">
        <f t="shared" si="45"/>
        <v>-56440</v>
      </c>
      <c r="AF319" s="243">
        <f t="shared" si="36"/>
        <v>0</v>
      </c>
      <c r="AG319" s="243">
        <f t="shared" si="37"/>
        <v>0</v>
      </c>
      <c r="AI319" s="243">
        <f>VLOOKUP(A319,'OPEB Amounts_Report'!$A$10:$G$324,7,FALSE)</f>
        <v>0</v>
      </c>
      <c r="AJ319" s="244">
        <f t="shared" si="44"/>
        <v>0</v>
      </c>
      <c r="AK319" s="244"/>
      <c r="AL319" s="354">
        <f t="shared" si="38"/>
        <v>2357</v>
      </c>
      <c r="AM319" s="243">
        <f t="shared" si="39"/>
        <v>0</v>
      </c>
      <c r="AN319" s="243">
        <f t="shared" si="40"/>
        <v>0</v>
      </c>
      <c r="AO319" s="243">
        <f t="shared" si="41"/>
        <v>0</v>
      </c>
      <c r="AP319" s="243">
        <f t="shared" si="42"/>
        <v>0</v>
      </c>
      <c r="AQ319" s="243">
        <f t="shared" si="43"/>
        <v>0</v>
      </c>
    </row>
    <row r="320" spans="1:43">
      <c r="A320" s="61">
        <v>16357</v>
      </c>
      <c r="B320" s="62" t="s">
        <v>405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  <c r="H320" s="228"/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/>
      <c r="O320" s="85">
        <v>0</v>
      </c>
      <c r="P320" s="85">
        <v>0</v>
      </c>
      <c r="Q320" s="85">
        <v>0</v>
      </c>
      <c r="R320" s="85">
        <v>0</v>
      </c>
      <c r="S320" s="228"/>
      <c r="T320" s="85">
        <v>0</v>
      </c>
      <c r="U320" s="85">
        <v>0</v>
      </c>
      <c r="V320" s="85">
        <v>0</v>
      </c>
      <c r="W320" s="228"/>
      <c r="X320" s="243">
        <v>0</v>
      </c>
      <c r="Y320" s="244">
        <v>0</v>
      </c>
      <c r="Z320" s="62"/>
      <c r="AA320" s="141">
        <v>-74761</v>
      </c>
      <c r="AD320" s="244">
        <f t="shared" si="45"/>
        <v>-74761</v>
      </c>
      <c r="AF320" s="243">
        <f t="shared" si="36"/>
        <v>0</v>
      </c>
      <c r="AG320" s="243">
        <f t="shared" si="37"/>
        <v>0</v>
      </c>
      <c r="AI320" s="243">
        <f>VLOOKUP(A320,'OPEB Amounts_Report'!$A$10:$G$324,7,FALSE)</f>
        <v>0</v>
      </c>
      <c r="AJ320" s="244">
        <f t="shared" si="44"/>
        <v>0</v>
      </c>
      <c r="AK320" s="244"/>
      <c r="AL320" s="354">
        <f t="shared" si="38"/>
        <v>16357</v>
      </c>
      <c r="AM320" s="243">
        <f t="shared" si="39"/>
        <v>0</v>
      </c>
      <c r="AN320" s="243">
        <f t="shared" si="40"/>
        <v>0</v>
      </c>
      <c r="AO320" s="243">
        <f t="shared" si="41"/>
        <v>0</v>
      </c>
      <c r="AP320" s="243">
        <f t="shared" si="42"/>
        <v>0</v>
      </c>
      <c r="AQ320" s="243">
        <f t="shared" si="43"/>
        <v>0</v>
      </c>
    </row>
    <row r="321" spans="1:43">
      <c r="A321" s="59">
        <v>7339</v>
      </c>
      <c r="B321" s="63" t="s">
        <v>406</v>
      </c>
      <c r="C321" s="85">
        <v>0</v>
      </c>
      <c r="D321" s="85">
        <v>0</v>
      </c>
      <c r="E321" s="85">
        <v>0</v>
      </c>
      <c r="F321" s="85">
        <v>0</v>
      </c>
      <c r="G321" s="85">
        <v>0</v>
      </c>
      <c r="H321" s="228"/>
      <c r="I321" s="85">
        <v>0</v>
      </c>
      <c r="J321" s="85">
        <v>0</v>
      </c>
      <c r="K321" s="85">
        <v>0</v>
      </c>
      <c r="L321" s="85">
        <v>0</v>
      </c>
      <c r="M321" s="85">
        <v>0</v>
      </c>
      <c r="N321" s="85"/>
      <c r="O321" s="85">
        <v>0</v>
      </c>
      <c r="P321" s="85">
        <v>0</v>
      </c>
      <c r="Q321" s="85">
        <v>0</v>
      </c>
      <c r="R321" s="85">
        <v>0</v>
      </c>
      <c r="S321" s="228"/>
      <c r="T321" s="85">
        <v>0</v>
      </c>
      <c r="U321" s="85">
        <v>0</v>
      </c>
      <c r="V321" s="85">
        <v>0</v>
      </c>
      <c r="W321" s="228"/>
      <c r="X321" s="243">
        <v>0</v>
      </c>
      <c r="Y321" s="244">
        <v>0</v>
      </c>
      <c r="Z321" s="62"/>
      <c r="AA321" s="141">
        <v>-75382</v>
      </c>
      <c r="AD321" s="244">
        <f t="shared" si="45"/>
        <v>-75382</v>
      </c>
      <c r="AF321" s="243">
        <f t="shared" si="36"/>
        <v>0</v>
      </c>
      <c r="AG321" s="243">
        <f t="shared" si="37"/>
        <v>0</v>
      </c>
      <c r="AI321" s="243">
        <f>VLOOKUP(A321,'OPEB Amounts_Report'!$A$10:$G$324,7,FALSE)</f>
        <v>0</v>
      </c>
      <c r="AJ321" s="244">
        <f t="shared" si="44"/>
        <v>0</v>
      </c>
      <c r="AK321" s="244"/>
      <c r="AL321" s="354">
        <f t="shared" si="38"/>
        <v>7339</v>
      </c>
      <c r="AM321" s="243">
        <f t="shared" si="39"/>
        <v>0</v>
      </c>
      <c r="AN321" s="243">
        <f t="shared" si="40"/>
        <v>0</v>
      </c>
      <c r="AO321" s="243">
        <f t="shared" si="41"/>
        <v>0</v>
      </c>
      <c r="AP321" s="243">
        <f t="shared" si="42"/>
        <v>0</v>
      </c>
      <c r="AQ321" s="243">
        <f t="shared" si="43"/>
        <v>0</v>
      </c>
    </row>
    <row r="322" spans="1:43">
      <c r="A322" s="61">
        <v>2344</v>
      </c>
      <c r="B322" s="62" t="s">
        <v>395</v>
      </c>
      <c r="C322" s="85">
        <v>0</v>
      </c>
      <c r="D322" s="85">
        <v>0</v>
      </c>
      <c r="E322" s="85">
        <v>0</v>
      </c>
      <c r="F322" s="85">
        <v>0</v>
      </c>
      <c r="G322" s="85">
        <v>0</v>
      </c>
      <c r="H322" s="228"/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/>
      <c r="O322" s="85">
        <v>0</v>
      </c>
      <c r="P322" s="85">
        <v>0</v>
      </c>
      <c r="Q322" s="85">
        <v>0</v>
      </c>
      <c r="R322" s="85">
        <v>0</v>
      </c>
      <c r="S322" s="228"/>
      <c r="T322" s="85">
        <v>0</v>
      </c>
      <c r="U322" s="85">
        <v>0</v>
      </c>
      <c r="V322" s="85">
        <v>0</v>
      </c>
      <c r="W322" s="228"/>
      <c r="X322" s="243">
        <v>0</v>
      </c>
      <c r="Y322" s="244">
        <v>0</v>
      </c>
      <c r="Z322" s="62"/>
      <c r="AA322" s="141">
        <v>-117353</v>
      </c>
      <c r="AD322" s="244">
        <f t="shared" si="45"/>
        <v>-117353</v>
      </c>
      <c r="AF322" s="243">
        <f t="shared" si="36"/>
        <v>0</v>
      </c>
      <c r="AG322" s="243">
        <f t="shared" si="37"/>
        <v>0</v>
      </c>
      <c r="AI322" s="243">
        <f>VLOOKUP(A322,'OPEB Amounts_Report'!$A$10:$G$324,7,FALSE)</f>
        <v>0</v>
      </c>
      <c r="AJ322" s="244">
        <f t="shared" si="44"/>
        <v>0</v>
      </c>
      <c r="AK322" s="244"/>
      <c r="AL322" s="354">
        <f t="shared" si="38"/>
        <v>2344</v>
      </c>
      <c r="AM322" s="243">
        <f t="shared" si="39"/>
        <v>0</v>
      </c>
      <c r="AN322" s="243">
        <f t="shared" si="40"/>
        <v>0</v>
      </c>
      <c r="AO322" s="243">
        <f t="shared" si="41"/>
        <v>0</v>
      </c>
      <c r="AP322" s="243">
        <f t="shared" si="42"/>
        <v>0</v>
      </c>
      <c r="AQ322" s="243">
        <f t="shared" si="43"/>
        <v>0</v>
      </c>
    </row>
    <row r="323" spans="1:43">
      <c r="A323" s="22"/>
      <c r="B323" s="23"/>
      <c r="C323" s="326"/>
      <c r="D323" s="326"/>
      <c r="E323" s="326"/>
      <c r="F323" s="326"/>
      <c r="G323" s="326"/>
      <c r="H323" s="326"/>
      <c r="I323" s="205"/>
      <c r="J323" s="205"/>
      <c r="K323" s="205"/>
      <c r="L323" s="205"/>
      <c r="M323" s="205"/>
      <c r="N323" s="326"/>
      <c r="O323" s="326"/>
      <c r="P323" s="326"/>
      <c r="Q323" s="326"/>
      <c r="R323" s="326"/>
      <c r="S323" s="205"/>
      <c r="T323" s="205"/>
      <c r="U323" s="205"/>
      <c r="V323" s="205"/>
      <c r="W323" s="205"/>
      <c r="Z323" s="170"/>
    </row>
    <row r="324" spans="1:43" ht="13.5" thickBot="1">
      <c r="A324" s="22"/>
      <c r="B324" s="25"/>
      <c r="C324" s="135">
        <f>SUM(C8:C323)</f>
        <v>0</v>
      </c>
      <c r="D324" s="135">
        <f>SUM(D8:D323)</f>
        <v>0</v>
      </c>
      <c r="E324" s="135">
        <f>SUM(E8:E323)</f>
        <v>0</v>
      </c>
      <c r="F324" s="135">
        <f>SUM(F8:F323)</f>
        <v>0</v>
      </c>
      <c r="G324" s="135">
        <f>SUM(G8:G323)</f>
        <v>0</v>
      </c>
      <c r="H324" s="207"/>
      <c r="I324" s="135">
        <f>SUM(I8:I323)</f>
        <v>0</v>
      </c>
      <c r="J324" s="135">
        <f>SUM(J8:J323)</f>
        <v>0</v>
      </c>
      <c r="K324" s="135">
        <f>SUM(K8:K323)</f>
        <v>0</v>
      </c>
      <c r="L324" s="135">
        <f>SUM(L8:L323)</f>
        <v>0</v>
      </c>
      <c r="M324" s="135">
        <f>SUM(M8:M323)</f>
        <v>0</v>
      </c>
      <c r="N324" s="353"/>
      <c r="O324" s="135">
        <f>SUM(O8:O323)</f>
        <v>0</v>
      </c>
      <c r="P324" s="135">
        <f>SUM(P8:P323)</f>
        <v>0</v>
      </c>
      <c r="Q324" s="135">
        <f>SUM(Q8:Q323)</f>
        <v>0</v>
      </c>
      <c r="R324" s="135">
        <f>SUM(R8:R323)</f>
        <v>0</v>
      </c>
      <c r="S324" s="207"/>
      <c r="T324" s="135">
        <f>SUM(T8:T323)</f>
        <v>0</v>
      </c>
      <c r="U324" s="135">
        <f>SUM(U8:U323)</f>
        <v>0</v>
      </c>
      <c r="V324" s="135">
        <f>SUM(V8:V323)</f>
        <v>0</v>
      </c>
      <c r="W324" s="207"/>
      <c r="X324" s="135">
        <f>SUM(X8:X323)</f>
        <v>0</v>
      </c>
      <c r="Y324" s="135">
        <f>SUM(Y8:Y323)</f>
        <v>0</v>
      </c>
      <c r="Z324" s="25"/>
      <c r="AA324" s="135">
        <f>SUM(AA8:AA323)</f>
        <v>0</v>
      </c>
      <c r="AD324" s="135">
        <f>SUM(AD8:AD323)</f>
        <v>0</v>
      </c>
      <c r="AF324" s="159">
        <f>SUM(AF8:AF323)</f>
        <v>171300015</v>
      </c>
      <c r="AG324" s="159">
        <f>SUM(AG8:AG323)</f>
        <v>171300015</v>
      </c>
      <c r="AM324" s="244">
        <f>SUM(AM8:AM323)</f>
        <v>0</v>
      </c>
      <c r="AN324" s="244">
        <f t="shared" ref="AN324:AQ324" si="46">SUM(AN8:AN323)</f>
        <v>0</v>
      </c>
      <c r="AO324" s="244">
        <f t="shared" si="46"/>
        <v>0</v>
      </c>
      <c r="AP324" s="244">
        <f t="shared" si="46"/>
        <v>0</v>
      </c>
      <c r="AQ324" s="244">
        <f t="shared" si="46"/>
        <v>0</v>
      </c>
    </row>
    <row r="325" spans="1:43" ht="13.5" thickTop="1">
      <c r="A325" s="22"/>
      <c r="B325" s="25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5"/>
      <c r="Y325" s="25"/>
      <c r="Z325" s="25"/>
    </row>
    <row r="326" spans="1:43">
      <c r="A326" s="22"/>
      <c r="B326" s="25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5"/>
      <c r="Y326" s="25"/>
      <c r="Z326" s="25"/>
    </row>
    <row r="327" spans="1:43">
      <c r="A327" s="22"/>
      <c r="B327" s="25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5"/>
      <c r="Y327" s="25"/>
      <c r="Z327" s="25"/>
    </row>
    <row r="328" spans="1:43">
      <c r="A328" s="22"/>
      <c r="B328" s="25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5"/>
      <c r="Y328" s="25"/>
      <c r="Z328" s="25"/>
    </row>
    <row r="329" spans="1:43">
      <c r="A329" s="22"/>
      <c r="B329" s="25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5"/>
      <c r="Y329" s="25"/>
      <c r="Z329" s="25"/>
    </row>
    <row r="330" spans="1:43">
      <c r="A330" s="11"/>
      <c r="B330" s="11"/>
      <c r="C330" s="133"/>
      <c r="D330" s="133"/>
      <c r="E330" s="133"/>
      <c r="F330" s="133"/>
      <c r="G330" s="133"/>
      <c r="H330" s="13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33"/>
    </row>
  </sheetData>
  <mergeCells count="9">
    <mergeCell ref="AF3:AG3"/>
    <mergeCell ref="X2:Y2"/>
    <mergeCell ref="X3:Y3"/>
    <mergeCell ref="C2:G2"/>
    <mergeCell ref="C3:G3"/>
    <mergeCell ref="I2:M2"/>
    <mergeCell ref="I3:M3"/>
    <mergeCell ref="T2:V2"/>
    <mergeCell ref="T3:V3"/>
  </mergeCells>
  <pageMargins left="0.7" right="0.7" top="0.75" bottom="0.75" header="0.3" footer="0.75"/>
  <pageSetup scale="17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321"/>
  <sheetViews>
    <sheetView view="pageBreakPreview" zoomScaleNormal="100" zoomScaleSheetLayoutView="100" workbookViewId="0">
      <pane ySplit="2" topLeftCell="A234" activePane="bottomLeft" state="frozen"/>
      <selection activeCell="D567" sqref="D567"/>
      <selection pane="bottomLeft" activeCell="D567" sqref="D567"/>
    </sheetView>
  </sheetViews>
  <sheetFormatPr defaultColWidth="9.42578125" defaultRowHeight="12.75"/>
  <cols>
    <col min="1" max="1" width="12.42578125" style="6" customWidth="1"/>
    <col min="2" max="2" width="64.42578125" style="6" bestFit="1" customWidth="1"/>
    <col min="3" max="3" width="15.5703125" style="6" customWidth="1"/>
    <col min="4" max="4" width="2.42578125" style="6" customWidth="1"/>
    <col min="5" max="5" width="14.42578125" style="7" customWidth="1"/>
    <col min="6" max="6" width="2.42578125" style="7" customWidth="1"/>
    <col min="7" max="7" width="15.42578125" style="7" customWidth="1"/>
    <col min="8" max="8" width="17" style="7" bestFit="1" customWidth="1"/>
    <col min="9" max="9" width="20" style="7" bestFit="1" customWidth="1"/>
    <col min="10" max="10" width="9" style="11" customWidth="1"/>
    <col min="11" max="11" width="15.42578125" style="6" customWidth="1"/>
    <col min="12" max="12" width="10.5703125" style="6" bestFit="1" customWidth="1"/>
    <col min="13" max="16" width="11" style="6" bestFit="1" customWidth="1"/>
    <col min="17" max="17" width="9.42578125" style="6" bestFit="1" customWidth="1"/>
    <col min="18" max="16384" width="9.42578125" style="6"/>
  </cols>
  <sheetData>
    <row r="1" spans="1:17" s="132" customFormat="1">
      <c r="E1" s="133"/>
      <c r="F1" s="133"/>
      <c r="G1" s="133"/>
      <c r="H1" s="133"/>
      <c r="I1" s="133"/>
      <c r="J1" s="11"/>
      <c r="L1" s="139" t="s">
        <v>313</v>
      </c>
      <c r="M1" s="138"/>
      <c r="N1" s="138"/>
      <c r="O1" s="138"/>
      <c r="P1" s="138"/>
      <c r="Q1" s="138"/>
    </row>
    <row r="2" spans="1:17" ht="51">
      <c r="A2" s="52" t="s">
        <v>0</v>
      </c>
      <c r="B2" s="53" t="s">
        <v>1</v>
      </c>
      <c r="C2" s="52" t="s">
        <v>511</v>
      </c>
      <c r="D2" s="52"/>
      <c r="E2" s="52" t="s">
        <v>466</v>
      </c>
      <c r="F2" s="52"/>
      <c r="G2" s="52" t="s">
        <v>370</v>
      </c>
      <c r="H2" s="52" t="s">
        <v>373</v>
      </c>
      <c r="I2" s="52" t="s">
        <v>374</v>
      </c>
      <c r="J2" s="6"/>
      <c r="L2" s="191">
        <v>2025</v>
      </c>
      <c r="M2" s="191">
        <v>2026</v>
      </c>
      <c r="N2" s="191">
        <v>2027</v>
      </c>
      <c r="O2" s="191">
        <v>2028</v>
      </c>
      <c r="P2" s="132">
        <v>2029</v>
      </c>
      <c r="Q2" s="138" t="s">
        <v>375</v>
      </c>
    </row>
    <row r="3" spans="1:17">
      <c r="A3" s="20"/>
      <c r="B3" s="21"/>
      <c r="C3" s="21" t="s">
        <v>4</v>
      </c>
      <c r="D3" s="11"/>
      <c r="E3" s="6"/>
      <c r="F3" s="6"/>
      <c r="G3" s="6"/>
      <c r="H3" s="6"/>
      <c r="I3" s="6"/>
      <c r="J3" s="6"/>
    </row>
    <row r="4" spans="1:17">
      <c r="A4" s="20"/>
      <c r="B4" s="21"/>
      <c r="C4" s="21"/>
      <c r="D4" s="11"/>
      <c r="E4" s="112"/>
      <c r="F4" s="112"/>
      <c r="G4" s="113"/>
      <c r="H4" s="114"/>
      <c r="I4" s="114"/>
      <c r="J4" s="114"/>
      <c r="K4" s="115"/>
    </row>
    <row r="5" spans="1:17">
      <c r="A5" s="298">
        <v>1341</v>
      </c>
      <c r="B5" s="299" t="s">
        <v>5</v>
      </c>
      <c r="C5" s="224">
        <f>VLOOKUP(A5,'Contribution Allocation_Report'!$A$9:$D$314,4,FALSE)</f>
        <v>0.24088926914915942</v>
      </c>
      <c r="D5" s="11"/>
      <c r="E5" s="241">
        <f>VLOOKUP(A5,'Contribution Allocation_Rep 23'!$A$9:$D$312,4,FALSE)</f>
        <v>0.23799180794551009</v>
      </c>
      <c r="F5" s="123"/>
      <c r="G5" s="134">
        <f t="shared" ref="G5:G68" si="0">ROUND((E5-C5)*$G$318,0)</f>
        <v>9343641</v>
      </c>
      <c r="H5" s="120">
        <f>ROUND(G5/5.93,0)</f>
        <v>1575656</v>
      </c>
      <c r="I5" s="120">
        <f>G5-H5</f>
        <v>7767985</v>
      </c>
      <c r="J5" s="129"/>
      <c r="K5" s="117"/>
      <c r="L5" s="243">
        <f>+H5</f>
        <v>1575656</v>
      </c>
      <c r="M5" s="243">
        <f>+L5</f>
        <v>1575656</v>
      </c>
      <c r="N5" s="243">
        <f t="shared" ref="N5:O5" si="1">+M5</f>
        <v>1575656</v>
      </c>
      <c r="O5" s="243">
        <f t="shared" si="1"/>
        <v>1575656</v>
      </c>
      <c r="P5" s="244">
        <f>I5-SUM(L5:O5)</f>
        <v>1465361</v>
      </c>
      <c r="Q5" s="141">
        <f>+I5-SUM(L5:P5)</f>
        <v>0</v>
      </c>
    </row>
    <row r="6" spans="1:17">
      <c r="A6" s="193">
        <v>2308</v>
      </c>
      <c r="B6" s="194" t="s">
        <v>6</v>
      </c>
      <c r="C6" s="200">
        <f>VLOOKUP(A6,'Contribution Allocation_Report'!$A$9:$D$314,4,FALSE)</f>
        <v>4.5789627714183558E-4</v>
      </c>
      <c r="D6" s="11"/>
      <c r="E6" s="241">
        <f>VLOOKUP(A6,'Contribution Allocation_Rep 23'!$A$9:$D$312,4,FALSE)</f>
        <v>4.5258329595199598E-4</v>
      </c>
      <c r="F6" s="123"/>
      <c r="G6" s="134">
        <f t="shared" si="0"/>
        <v>17133</v>
      </c>
      <c r="H6" s="240">
        <f t="shared" ref="H6:H69" si="2">ROUND(G6/5.93,0)</f>
        <v>2889</v>
      </c>
      <c r="I6" s="120">
        <f>G6-H6</f>
        <v>14244</v>
      </c>
      <c r="J6" s="129"/>
      <c r="K6" s="117"/>
      <c r="L6" s="243">
        <f t="shared" ref="L6:L69" si="3">+H6</f>
        <v>2889</v>
      </c>
      <c r="M6" s="243">
        <f t="shared" ref="M6:M69" si="4">+L6</f>
        <v>2889</v>
      </c>
      <c r="N6" s="243">
        <f t="shared" ref="N6:N69" si="5">+M6</f>
        <v>2889</v>
      </c>
      <c r="O6" s="243">
        <f t="shared" ref="O6:O69" si="6">+N6</f>
        <v>2889</v>
      </c>
      <c r="P6" s="244">
        <f t="shared" ref="P6:P69" si="7">I6-SUM(L6:O6)</f>
        <v>2688</v>
      </c>
      <c r="Q6" s="141">
        <f t="shared" ref="Q6:Q70" si="8">+I6-SUM(L6:P6)</f>
        <v>0</v>
      </c>
    </row>
    <row r="7" spans="1:17">
      <c r="A7" s="195">
        <v>2340</v>
      </c>
      <c r="B7" s="196" t="s">
        <v>7</v>
      </c>
      <c r="C7" s="201">
        <f>VLOOKUP(A7,'Contribution Allocation_Report'!$A$9:$D$314,4,FALSE)</f>
        <v>4.437553396074132E-4</v>
      </c>
      <c r="D7" s="11"/>
      <c r="E7" s="241">
        <f>VLOOKUP(A7,'Contribution Allocation_Rep 23'!$A$9:$D$312,4,FALSE)</f>
        <v>4.2874933765822768E-4</v>
      </c>
      <c r="F7" s="123"/>
      <c r="G7" s="134">
        <f t="shared" si="0"/>
        <v>48391</v>
      </c>
      <c r="H7" s="240">
        <f t="shared" si="2"/>
        <v>8160</v>
      </c>
      <c r="I7" s="120">
        <f t="shared" ref="I7:I71" si="9">G7-H7</f>
        <v>40231</v>
      </c>
      <c r="J7" s="120"/>
      <c r="K7" s="117"/>
      <c r="L7" s="243">
        <f t="shared" si="3"/>
        <v>8160</v>
      </c>
      <c r="M7" s="243">
        <f t="shared" si="4"/>
        <v>8160</v>
      </c>
      <c r="N7" s="243">
        <f t="shared" si="5"/>
        <v>8160</v>
      </c>
      <c r="O7" s="243">
        <f t="shared" si="6"/>
        <v>8160</v>
      </c>
      <c r="P7" s="244">
        <f t="shared" si="7"/>
        <v>7591</v>
      </c>
      <c r="Q7" s="141">
        <f t="shared" si="8"/>
        <v>0</v>
      </c>
    </row>
    <row r="8" spans="1:17">
      <c r="A8" s="193">
        <v>1301</v>
      </c>
      <c r="B8" s="194" t="s">
        <v>8</v>
      </c>
      <c r="C8" s="200">
        <f>VLOOKUP(A8,'Contribution Allocation_Report'!$A$9:$D$314,4,FALSE)</f>
        <v>5.1237147126389148E-4</v>
      </c>
      <c r="D8" s="11"/>
      <c r="E8" s="241">
        <f>VLOOKUP(A8,'Contribution Allocation_Rep 23'!$A$9:$D$312,4,FALSE)</f>
        <v>5.1155706455067909E-4</v>
      </c>
      <c r="F8" s="123"/>
      <c r="G8" s="134">
        <f t="shared" si="0"/>
        <v>2626</v>
      </c>
      <c r="H8" s="240">
        <f t="shared" si="2"/>
        <v>443</v>
      </c>
      <c r="I8" s="120">
        <f t="shared" si="9"/>
        <v>2183</v>
      </c>
      <c r="J8" s="120"/>
      <c r="K8" s="117"/>
      <c r="L8" s="243">
        <f t="shared" si="3"/>
        <v>443</v>
      </c>
      <c r="M8" s="243">
        <f t="shared" si="4"/>
        <v>443</v>
      </c>
      <c r="N8" s="243">
        <f t="shared" si="5"/>
        <v>443</v>
      </c>
      <c r="O8" s="243">
        <f t="shared" si="6"/>
        <v>443</v>
      </c>
      <c r="P8" s="244">
        <f t="shared" si="7"/>
        <v>411</v>
      </c>
      <c r="Q8" s="141">
        <f t="shared" si="8"/>
        <v>0</v>
      </c>
    </row>
    <row r="9" spans="1:17">
      <c r="A9" s="195">
        <v>2390</v>
      </c>
      <c r="B9" s="196" t="s">
        <v>9</v>
      </c>
      <c r="C9" s="201">
        <f>VLOOKUP(A9,'Contribution Allocation_Report'!$A$9:$D$314,4,FALSE)</f>
        <v>4.0823418391295067E-4</v>
      </c>
      <c r="D9" s="11"/>
      <c r="E9" s="241">
        <f>VLOOKUP(A9,'Contribution Allocation_Rep 23'!$A$9:$D$312,4,FALSE)</f>
        <v>4.0227880229313411E-4</v>
      </c>
      <c r="F9" s="123"/>
      <c r="G9" s="134">
        <f t="shared" si="0"/>
        <v>19205</v>
      </c>
      <c r="H9" s="240">
        <f t="shared" si="2"/>
        <v>3239</v>
      </c>
      <c r="I9" s="120">
        <f t="shared" si="9"/>
        <v>15966</v>
      </c>
      <c r="J9" s="120"/>
      <c r="K9" s="117"/>
      <c r="L9" s="243">
        <f t="shared" si="3"/>
        <v>3239</v>
      </c>
      <c r="M9" s="243">
        <f t="shared" si="4"/>
        <v>3239</v>
      </c>
      <c r="N9" s="243">
        <f t="shared" si="5"/>
        <v>3239</v>
      </c>
      <c r="O9" s="243">
        <f t="shared" si="6"/>
        <v>3239</v>
      </c>
      <c r="P9" s="244">
        <f t="shared" si="7"/>
        <v>3010</v>
      </c>
      <c r="Q9" s="141">
        <f t="shared" si="8"/>
        <v>0</v>
      </c>
    </row>
    <row r="10" spans="1:17" s="191" customFormat="1">
      <c r="A10" s="193">
        <v>2441</v>
      </c>
      <c r="B10" s="194" t="s">
        <v>419</v>
      </c>
      <c r="C10" s="200">
        <f>VLOOKUP(A10,'Contribution Allocation_Report'!$A$9:$D$314,4,FALSE)</f>
        <v>1.8818203769433749E-4</v>
      </c>
      <c r="D10" s="11"/>
      <c r="E10" s="241">
        <f>VLOOKUP(A10,'Contribution Allocation_Rep 23'!$A$9:$D$312,4,FALSE)</f>
        <v>2.2312251725781562E-4</v>
      </c>
      <c r="F10" s="123"/>
      <c r="G10" s="242">
        <f t="shared" si="0"/>
        <v>-112675</v>
      </c>
      <c r="H10" s="240">
        <f t="shared" si="2"/>
        <v>-19001</v>
      </c>
      <c r="I10" s="240">
        <f t="shared" ref="I10" si="10">G10-H10</f>
        <v>-93674</v>
      </c>
      <c r="J10" s="240"/>
      <c r="K10" s="117"/>
      <c r="L10" s="243">
        <f t="shared" si="3"/>
        <v>-19001</v>
      </c>
      <c r="M10" s="243">
        <f t="shared" si="4"/>
        <v>-19001</v>
      </c>
      <c r="N10" s="243">
        <f t="shared" si="5"/>
        <v>-19001</v>
      </c>
      <c r="O10" s="243">
        <f t="shared" si="6"/>
        <v>-19001</v>
      </c>
      <c r="P10" s="244">
        <f t="shared" si="7"/>
        <v>-17670</v>
      </c>
      <c r="Q10" s="244">
        <f>+I10-SUM(L10:P10)</f>
        <v>0</v>
      </c>
    </row>
    <row r="11" spans="1:17">
      <c r="A11" s="195">
        <v>15046</v>
      </c>
      <c r="B11" s="196" t="s">
        <v>10</v>
      </c>
      <c r="C11" s="201">
        <f>VLOOKUP(A11,'Contribution Allocation_Report'!$A$9:$D$314,4,FALSE)</f>
        <v>7.5496196350835669E-3</v>
      </c>
      <c r="D11" s="11"/>
      <c r="E11" s="241">
        <f>VLOOKUP(A11,'Contribution Allocation_Rep 23'!$A$9:$D$312,4,FALSE)</f>
        <v>7.1444254322792517E-3</v>
      </c>
      <c r="F11" s="123"/>
      <c r="G11" s="134">
        <f t="shared" si="0"/>
        <v>1306657</v>
      </c>
      <c r="H11" s="240">
        <f t="shared" si="2"/>
        <v>220347</v>
      </c>
      <c r="I11" s="120">
        <f t="shared" si="9"/>
        <v>1086310</v>
      </c>
      <c r="J11" s="120"/>
      <c r="K11" s="117"/>
      <c r="L11" s="243">
        <f t="shared" si="3"/>
        <v>220347</v>
      </c>
      <c r="M11" s="243">
        <f t="shared" si="4"/>
        <v>220347</v>
      </c>
      <c r="N11" s="243">
        <f t="shared" si="5"/>
        <v>220347</v>
      </c>
      <c r="O11" s="243">
        <f t="shared" si="6"/>
        <v>220347</v>
      </c>
      <c r="P11" s="244">
        <f t="shared" si="7"/>
        <v>204922</v>
      </c>
      <c r="Q11" s="141">
        <f t="shared" si="8"/>
        <v>0</v>
      </c>
    </row>
    <row r="12" spans="1:17">
      <c r="A12" s="193">
        <v>4380</v>
      </c>
      <c r="B12" s="194" t="s">
        <v>11</v>
      </c>
      <c r="C12" s="200">
        <f>VLOOKUP(A12,'Contribution Allocation_Report'!$A$9:$D$314,4,FALSE)</f>
        <v>6.186342176878851E-3</v>
      </c>
      <c r="D12" s="11"/>
      <c r="E12" s="241">
        <f>VLOOKUP(A12,'Contribution Allocation_Rep 23'!$A$9:$D$312,4,FALSE)</f>
        <v>7.1677181065385098E-3</v>
      </c>
      <c r="F12" s="123"/>
      <c r="G12" s="134">
        <f t="shared" si="0"/>
        <v>-3164710</v>
      </c>
      <c r="H12" s="240">
        <f t="shared" si="2"/>
        <v>-533678</v>
      </c>
      <c r="I12" s="120">
        <f t="shared" si="9"/>
        <v>-2631032</v>
      </c>
      <c r="J12" s="120"/>
      <c r="K12" s="117"/>
      <c r="L12" s="243">
        <f t="shared" si="3"/>
        <v>-533678</v>
      </c>
      <c r="M12" s="243">
        <f t="shared" si="4"/>
        <v>-533678</v>
      </c>
      <c r="N12" s="243">
        <f t="shared" si="5"/>
        <v>-533678</v>
      </c>
      <c r="O12" s="243">
        <f t="shared" si="6"/>
        <v>-533678</v>
      </c>
      <c r="P12" s="244">
        <f t="shared" si="7"/>
        <v>-496320</v>
      </c>
      <c r="Q12" s="141">
        <f t="shared" si="8"/>
        <v>0</v>
      </c>
    </row>
    <row r="13" spans="1:17">
      <c r="A13" s="195">
        <v>2343</v>
      </c>
      <c r="B13" s="196" t="s">
        <v>420</v>
      </c>
      <c r="C13" s="201">
        <f>VLOOKUP(A13,'Contribution Allocation_Report'!$A$9:$D$314,4,FALSE)</f>
        <v>5.9648688703638859E-4</v>
      </c>
      <c r="D13" s="11"/>
      <c r="E13" s="241">
        <f>VLOOKUP(A13,'Contribution Allocation_Rep 23'!$A$9:$D$312,4,FALSE)</f>
        <v>5.5234543566734051E-4</v>
      </c>
      <c r="F13" s="123"/>
      <c r="G13" s="134">
        <f t="shared" si="0"/>
        <v>142346</v>
      </c>
      <c r="H13" s="240">
        <f t="shared" si="2"/>
        <v>24004</v>
      </c>
      <c r="I13" s="120">
        <f t="shared" si="9"/>
        <v>118342</v>
      </c>
      <c r="J13" s="120"/>
      <c r="K13" s="117"/>
      <c r="L13" s="243">
        <f t="shared" si="3"/>
        <v>24004</v>
      </c>
      <c r="M13" s="243">
        <f t="shared" si="4"/>
        <v>24004</v>
      </c>
      <c r="N13" s="243">
        <f t="shared" si="5"/>
        <v>24004</v>
      </c>
      <c r="O13" s="243">
        <f t="shared" si="6"/>
        <v>24004</v>
      </c>
      <c r="P13" s="244">
        <f t="shared" si="7"/>
        <v>22326</v>
      </c>
      <c r="Q13" s="141">
        <f t="shared" si="8"/>
        <v>0</v>
      </c>
    </row>
    <row r="14" spans="1:17">
      <c r="A14" s="193">
        <v>2435</v>
      </c>
      <c r="B14" s="194" t="s">
        <v>396</v>
      </c>
      <c r="C14" s="200">
        <f>VLOOKUP(A14,'Contribution Allocation_Report'!$A$9:$D$314,4,FALSE)</f>
        <v>2.3672133577196065E-4</v>
      </c>
      <c r="D14" s="11"/>
      <c r="E14" s="241">
        <f>VLOOKUP(A14,'Contribution Allocation_Rep 23'!$A$9:$D$312,4,FALSE)</f>
        <v>2.3333707081228775E-4</v>
      </c>
      <c r="F14" s="123"/>
      <c r="G14" s="134">
        <f t="shared" si="0"/>
        <v>10913</v>
      </c>
      <c r="H14" s="240">
        <f t="shared" si="2"/>
        <v>1840</v>
      </c>
      <c r="I14" s="120">
        <f t="shared" si="9"/>
        <v>9073</v>
      </c>
      <c r="J14" s="120"/>
      <c r="K14" s="117"/>
      <c r="L14" s="243">
        <f t="shared" si="3"/>
        <v>1840</v>
      </c>
      <c r="M14" s="243">
        <f t="shared" si="4"/>
        <v>1840</v>
      </c>
      <c r="N14" s="243">
        <f t="shared" si="5"/>
        <v>1840</v>
      </c>
      <c r="O14" s="243">
        <f t="shared" si="6"/>
        <v>1840</v>
      </c>
      <c r="P14" s="244">
        <f t="shared" si="7"/>
        <v>1713</v>
      </c>
      <c r="Q14" s="141">
        <f t="shared" si="8"/>
        <v>0</v>
      </c>
    </row>
    <row r="15" spans="1:17">
      <c r="A15" s="195">
        <v>4560</v>
      </c>
      <c r="B15" s="196" t="s">
        <v>12</v>
      </c>
      <c r="C15" s="201">
        <f>VLOOKUP(A15,'Contribution Allocation_Report'!$A$9:$D$314,4,FALSE)</f>
        <v>6.0185745964801813E-4</v>
      </c>
      <c r="D15" s="11"/>
      <c r="E15" s="241">
        <f>VLOOKUP(A15,'Contribution Allocation_Rep 23'!$A$9:$D$312,4,FALSE)</f>
        <v>5.7349043456386315E-4</v>
      </c>
      <c r="F15" s="123"/>
      <c r="G15" s="134">
        <f t="shared" si="0"/>
        <v>91477</v>
      </c>
      <c r="H15" s="240">
        <f t="shared" si="2"/>
        <v>15426</v>
      </c>
      <c r="I15" s="120">
        <f t="shared" si="9"/>
        <v>76051</v>
      </c>
      <c r="J15" s="120"/>
      <c r="K15" s="117"/>
      <c r="L15" s="243">
        <f t="shared" si="3"/>
        <v>15426</v>
      </c>
      <c r="M15" s="243">
        <f t="shared" si="4"/>
        <v>15426</v>
      </c>
      <c r="N15" s="243">
        <f t="shared" si="5"/>
        <v>15426</v>
      </c>
      <c r="O15" s="243">
        <f t="shared" si="6"/>
        <v>15426</v>
      </c>
      <c r="P15" s="244">
        <f t="shared" si="7"/>
        <v>14347</v>
      </c>
      <c r="Q15" s="141">
        <f t="shared" si="8"/>
        <v>0</v>
      </c>
    </row>
    <row r="16" spans="1:17">
      <c r="A16" s="193">
        <v>2341</v>
      </c>
      <c r="B16" s="194" t="s">
        <v>417</v>
      </c>
      <c r="C16" s="200">
        <f>VLOOKUP(A16,'Contribution Allocation_Report'!$A$9:$D$314,4,FALSE)</f>
        <v>3.4092928855200186E-4</v>
      </c>
      <c r="D16" s="11"/>
      <c r="E16" s="241">
        <f>VLOOKUP(A16,'Contribution Allocation_Rep 23'!$A$9:$D$312,4,FALSE)</f>
        <v>3.5496883159938668E-4</v>
      </c>
      <c r="F16" s="123"/>
      <c r="G16" s="134">
        <f t="shared" si="0"/>
        <v>-45274</v>
      </c>
      <c r="H16" s="240">
        <f t="shared" si="2"/>
        <v>-7635</v>
      </c>
      <c r="I16" s="120">
        <f t="shared" si="9"/>
        <v>-37639</v>
      </c>
      <c r="J16" s="120"/>
      <c r="K16" s="117"/>
      <c r="L16" s="243">
        <f t="shared" si="3"/>
        <v>-7635</v>
      </c>
      <c r="M16" s="243">
        <f t="shared" si="4"/>
        <v>-7635</v>
      </c>
      <c r="N16" s="243">
        <f t="shared" si="5"/>
        <v>-7635</v>
      </c>
      <c r="O16" s="243">
        <f t="shared" si="6"/>
        <v>-7635</v>
      </c>
      <c r="P16" s="244">
        <f t="shared" si="7"/>
        <v>-7099</v>
      </c>
      <c r="Q16" s="141">
        <f t="shared" si="8"/>
        <v>0</v>
      </c>
    </row>
    <row r="17" spans="1:17">
      <c r="A17" s="195">
        <v>4580</v>
      </c>
      <c r="B17" s="196" t="s">
        <v>397</v>
      </c>
      <c r="C17" s="201">
        <f>VLOOKUP(A17,'Contribution Allocation_Report'!$A$9:$D$314,4,FALSE)</f>
        <v>3.4952691575921592E-4</v>
      </c>
      <c r="D17" s="11"/>
      <c r="E17" s="241">
        <f>VLOOKUP(A17,'Contribution Allocation_Rep 23'!$A$9:$D$312,4,FALSE)</f>
        <v>3.4214389213654947E-4</v>
      </c>
      <c r="F17" s="123"/>
      <c r="G17" s="134">
        <f t="shared" si="0"/>
        <v>23809</v>
      </c>
      <c r="H17" s="240">
        <f t="shared" si="2"/>
        <v>4015</v>
      </c>
      <c r="I17" s="120">
        <f t="shared" si="9"/>
        <v>19794</v>
      </c>
      <c r="J17" s="120"/>
      <c r="K17" s="117"/>
      <c r="L17" s="243">
        <f t="shared" si="3"/>
        <v>4015</v>
      </c>
      <c r="M17" s="243">
        <f t="shared" si="4"/>
        <v>4015</v>
      </c>
      <c r="N17" s="243">
        <f t="shared" si="5"/>
        <v>4015</v>
      </c>
      <c r="O17" s="243">
        <f t="shared" si="6"/>
        <v>4015</v>
      </c>
      <c r="P17" s="244">
        <f t="shared" si="7"/>
        <v>3734</v>
      </c>
      <c r="Q17" s="141">
        <f t="shared" si="8"/>
        <v>0</v>
      </c>
    </row>
    <row r="18" spans="1:17">
      <c r="A18" s="193">
        <v>2003</v>
      </c>
      <c r="B18" s="194" t="s">
        <v>13</v>
      </c>
      <c r="C18" s="200">
        <f>VLOOKUP(A18,'Contribution Allocation_Report'!$A$9:$D$314,4,FALSE)</f>
        <v>0.11060810499023478</v>
      </c>
      <c r="D18" s="11"/>
      <c r="E18" s="241">
        <f>VLOOKUP(A18,'Contribution Allocation_Rep 23'!$A$9:$D$312,4,FALSE)</f>
        <v>0.11208947327310116</v>
      </c>
      <c r="F18" s="123"/>
      <c r="G18" s="134">
        <f t="shared" si="0"/>
        <v>-4777069</v>
      </c>
      <c r="H18" s="240">
        <f t="shared" si="2"/>
        <v>-805577</v>
      </c>
      <c r="I18" s="120">
        <f t="shared" si="9"/>
        <v>-3971492</v>
      </c>
      <c r="J18" s="120"/>
      <c r="K18" s="117"/>
      <c r="L18" s="243">
        <f t="shared" si="3"/>
        <v>-805577</v>
      </c>
      <c r="M18" s="243">
        <f t="shared" si="4"/>
        <v>-805577</v>
      </c>
      <c r="N18" s="243">
        <f t="shared" si="5"/>
        <v>-805577</v>
      </c>
      <c r="O18" s="243">
        <f t="shared" si="6"/>
        <v>-805577</v>
      </c>
      <c r="P18" s="244">
        <f t="shared" si="7"/>
        <v>-749184</v>
      </c>
      <c r="Q18" s="141">
        <f t="shared" si="8"/>
        <v>0</v>
      </c>
    </row>
    <row r="19" spans="1:17">
      <c r="A19" s="195">
        <v>2412</v>
      </c>
      <c r="B19" s="196" t="s">
        <v>14</v>
      </c>
      <c r="C19" s="201">
        <f>VLOOKUP(A19,'Contribution Allocation_Report'!$A$9:$D$314,4,FALSE)</f>
        <v>1.0680922574236996E-3</v>
      </c>
      <c r="D19" s="11"/>
      <c r="E19" s="241">
        <f>VLOOKUP(A19,'Contribution Allocation_Rep 23'!$A$9:$D$312,4,FALSE)</f>
        <v>1.0209489929633162E-3</v>
      </c>
      <c r="F19" s="123"/>
      <c r="G19" s="134">
        <f t="shared" si="0"/>
        <v>152026</v>
      </c>
      <c r="H19" s="240">
        <f t="shared" si="2"/>
        <v>25637</v>
      </c>
      <c r="I19" s="120">
        <f t="shared" si="9"/>
        <v>126389</v>
      </c>
      <c r="J19" s="120"/>
      <c r="K19" s="117"/>
      <c r="L19" s="243">
        <f t="shared" si="3"/>
        <v>25637</v>
      </c>
      <c r="M19" s="243">
        <f t="shared" si="4"/>
        <v>25637</v>
      </c>
      <c r="N19" s="243">
        <f t="shared" si="5"/>
        <v>25637</v>
      </c>
      <c r="O19" s="243">
        <f t="shared" si="6"/>
        <v>25637</v>
      </c>
      <c r="P19" s="244">
        <f t="shared" si="7"/>
        <v>23841</v>
      </c>
      <c r="Q19" s="141">
        <f t="shared" si="8"/>
        <v>0</v>
      </c>
    </row>
    <row r="20" spans="1:17">
      <c r="A20" s="193">
        <v>2402</v>
      </c>
      <c r="B20" s="194" t="s">
        <v>15</v>
      </c>
      <c r="C20" s="200">
        <f>VLOOKUP(A20,'Contribution Allocation_Report'!$A$9:$D$314,4,FALSE)</f>
        <v>5.3024982482629006E-4</v>
      </c>
      <c r="D20" s="11"/>
      <c r="E20" s="241">
        <f>VLOOKUP(A20,'Contribution Allocation_Rep 23'!$A$9:$D$312,4,FALSE)</f>
        <v>4.3805593089674675E-4</v>
      </c>
      <c r="F20" s="123"/>
      <c r="G20" s="134">
        <f t="shared" si="0"/>
        <v>297304</v>
      </c>
      <c r="H20" s="240">
        <f t="shared" si="2"/>
        <v>50136</v>
      </c>
      <c r="I20" s="120">
        <f t="shared" si="9"/>
        <v>247168</v>
      </c>
      <c r="J20" s="120"/>
      <c r="K20" s="117"/>
      <c r="L20" s="243">
        <f t="shared" si="3"/>
        <v>50136</v>
      </c>
      <c r="M20" s="243">
        <f t="shared" si="4"/>
        <v>50136</v>
      </c>
      <c r="N20" s="243">
        <f t="shared" si="5"/>
        <v>50136</v>
      </c>
      <c r="O20" s="243">
        <f t="shared" si="6"/>
        <v>50136</v>
      </c>
      <c r="P20" s="244">
        <f t="shared" si="7"/>
        <v>46624</v>
      </c>
      <c r="Q20" s="141">
        <f t="shared" si="8"/>
        <v>0</v>
      </c>
    </row>
    <row r="21" spans="1:17">
      <c r="A21" s="195">
        <v>2361</v>
      </c>
      <c r="B21" s="196" t="s">
        <v>16</v>
      </c>
      <c r="C21" s="201">
        <f>VLOOKUP(A21,'Contribution Allocation_Report'!$A$9:$D$314,4,FALSE)</f>
        <v>1.7850872562192861E-4</v>
      </c>
      <c r="D21" s="11"/>
      <c r="E21" s="241">
        <f>VLOOKUP(A21,'Contribution Allocation_Rep 23'!$A$9:$D$312,4,FALSE)</f>
        <v>1.8559931112352397E-4</v>
      </c>
      <c r="F21" s="123"/>
      <c r="G21" s="134">
        <f t="shared" si="0"/>
        <v>-22865</v>
      </c>
      <c r="H21" s="240">
        <f t="shared" si="2"/>
        <v>-3856</v>
      </c>
      <c r="I21" s="120">
        <f t="shared" si="9"/>
        <v>-19009</v>
      </c>
      <c r="J21" s="120"/>
      <c r="K21" s="117"/>
      <c r="L21" s="243">
        <f t="shared" si="3"/>
        <v>-3856</v>
      </c>
      <c r="M21" s="243">
        <f t="shared" si="4"/>
        <v>-3856</v>
      </c>
      <c r="N21" s="243">
        <f t="shared" si="5"/>
        <v>-3856</v>
      </c>
      <c r="O21" s="243">
        <f t="shared" si="6"/>
        <v>-3856</v>
      </c>
      <c r="P21" s="244">
        <f t="shared" si="7"/>
        <v>-3585</v>
      </c>
      <c r="Q21" s="141">
        <f t="shared" si="8"/>
        <v>0</v>
      </c>
    </row>
    <row r="22" spans="1:17">
      <c r="A22" s="193">
        <v>8347</v>
      </c>
      <c r="B22" s="194" t="s">
        <v>17</v>
      </c>
      <c r="C22" s="200">
        <f>VLOOKUP(A22,'Contribution Allocation_Report'!$A$9:$D$314,4,FALSE)</f>
        <v>3.371683173809922E-4</v>
      </c>
      <c r="D22" s="11"/>
      <c r="E22" s="241">
        <f>VLOOKUP(A22,'Contribution Allocation_Rep 23'!$A$9:$D$312,4,FALSE)</f>
        <v>3.0656756244896489E-4</v>
      </c>
      <c r="F22" s="123"/>
      <c r="G22" s="134">
        <f t="shared" si="0"/>
        <v>98680</v>
      </c>
      <c r="H22" s="240">
        <f t="shared" si="2"/>
        <v>16641</v>
      </c>
      <c r="I22" s="120">
        <f t="shared" si="9"/>
        <v>82039</v>
      </c>
      <c r="J22" s="120"/>
      <c r="K22" s="117"/>
      <c r="L22" s="243">
        <f t="shared" si="3"/>
        <v>16641</v>
      </c>
      <c r="M22" s="243">
        <f t="shared" si="4"/>
        <v>16641</v>
      </c>
      <c r="N22" s="243">
        <f t="shared" si="5"/>
        <v>16641</v>
      </c>
      <c r="O22" s="243">
        <f t="shared" si="6"/>
        <v>16641</v>
      </c>
      <c r="P22" s="244">
        <f t="shared" si="7"/>
        <v>15475</v>
      </c>
      <c r="Q22" s="141">
        <f t="shared" si="8"/>
        <v>0</v>
      </c>
    </row>
    <row r="23" spans="1:17">
      <c r="A23" s="195">
        <v>2356</v>
      </c>
      <c r="B23" s="196" t="s">
        <v>18</v>
      </c>
      <c r="C23" s="201">
        <f>VLOOKUP(A23,'Contribution Allocation_Report'!$A$9:$D$314,4,FALSE)</f>
        <v>6.0719662540226985E-4</v>
      </c>
      <c r="D23" s="11"/>
      <c r="E23" s="241">
        <f>VLOOKUP(A23,'Contribution Allocation_Rep 23'!$A$9:$D$312,4,FALSE)</f>
        <v>5.9735931440824499E-4</v>
      </c>
      <c r="F23" s="123"/>
      <c r="G23" s="134">
        <f t="shared" si="0"/>
        <v>31723</v>
      </c>
      <c r="H23" s="240">
        <f t="shared" si="2"/>
        <v>5350</v>
      </c>
      <c r="I23" s="120">
        <f t="shared" si="9"/>
        <v>26373</v>
      </c>
      <c r="J23" s="120"/>
      <c r="K23" s="117"/>
      <c r="L23" s="243">
        <f t="shared" si="3"/>
        <v>5350</v>
      </c>
      <c r="M23" s="243">
        <f t="shared" si="4"/>
        <v>5350</v>
      </c>
      <c r="N23" s="243">
        <f t="shared" si="5"/>
        <v>5350</v>
      </c>
      <c r="O23" s="243">
        <f t="shared" si="6"/>
        <v>5350</v>
      </c>
      <c r="P23" s="244">
        <f t="shared" si="7"/>
        <v>4973</v>
      </c>
      <c r="Q23" s="141">
        <f t="shared" si="8"/>
        <v>0</v>
      </c>
    </row>
    <row r="24" spans="1:17">
      <c r="A24" s="193">
        <v>7335</v>
      </c>
      <c r="B24" s="194" t="s">
        <v>19</v>
      </c>
      <c r="C24" s="200">
        <f>VLOOKUP(A24,'Contribution Allocation_Report'!$A$9:$D$314,4,FALSE)</f>
        <v>1.6761054611177963E-4</v>
      </c>
      <c r="D24" s="11"/>
      <c r="E24" s="241">
        <f>VLOOKUP(A24,'Contribution Allocation_Rep 23'!$A$9:$D$312,4,FALSE)</f>
        <v>2.0691891777311453E-4</v>
      </c>
      <c r="F24" s="123"/>
      <c r="G24" s="134">
        <f t="shared" si="0"/>
        <v>-126760</v>
      </c>
      <c r="H24" s="240">
        <f t="shared" si="2"/>
        <v>-21376</v>
      </c>
      <c r="I24" s="120">
        <f t="shared" si="9"/>
        <v>-105384</v>
      </c>
      <c r="J24" s="120"/>
      <c r="K24" s="117"/>
      <c r="L24" s="243">
        <f t="shared" si="3"/>
        <v>-21376</v>
      </c>
      <c r="M24" s="243">
        <f t="shared" si="4"/>
        <v>-21376</v>
      </c>
      <c r="N24" s="243">
        <f t="shared" si="5"/>
        <v>-21376</v>
      </c>
      <c r="O24" s="243">
        <f t="shared" si="6"/>
        <v>-21376</v>
      </c>
      <c r="P24" s="244">
        <f t="shared" si="7"/>
        <v>-19880</v>
      </c>
      <c r="Q24" s="141">
        <f t="shared" si="8"/>
        <v>0</v>
      </c>
    </row>
    <row r="25" spans="1:17">
      <c r="A25" s="195">
        <v>575</v>
      </c>
      <c r="B25" s="196" t="s">
        <v>398</v>
      </c>
      <c r="C25" s="201">
        <f>VLOOKUP(A25,'Contribution Allocation_Report'!$A$9:$D$314,4,FALSE)</f>
        <v>2.1725693591197556E-4</v>
      </c>
      <c r="D25" s="11"/>
      <c r="E25" s="241">
        <f>VLOOKUP(A25,'Contribution Allocation_Rep 23'!$A$9:$D$312,4,FALSE)</f>
        <v>2.2232805198135668E-4</v>
      </c>
      <c r="F25" s="123"/>
      <c r="G25" s="134">
        <f t="shared" si="0"/>
        <v>-16353</v>
      </c>
      <c r="H25" s="240">
        <f t="shared" si="2"/>
        <v>-2758</v>
      </c>
      <c r="I25" s="120">
        <f t="shared" si="9"/>
        <v>-13595</v>
      </c>
      <c r="J25" s="120"/>
      <c r="K25" s="117"/>
      <c r="L25" s="243">
        <f t="shared" si="3"/>
        <v>-2758</v>
      </c>
      <c r="M25" s="243">
        <f t="shared" si="4"/>
        <v>-2758</v>
      </c>
      <c r="N25" s="243">
        <f t="shared" si="5"/>
        <v>-2758</v>
      </c>
      <c r="O25" s="243">
        <f t="shared" si="6"/>
        <v>-2758</v>
      </c>
      <c r="P25" s="244">
        <f t="shared" si="7"/>
        <v>-2563</v>
      </c>
      <c r="Q25" s="141">
        <f t="shared" si="8"/>
        <v>0</v>
      </c>
    </row>
    <row r="26" spans="1:17">
      <c r="A26" s="193">
        <v>2303</v>
      </c>
      <c r="B26" s="194" t="s">
        <v>20</v>
      </c>
      <c r="C26" s="200">
        <f>VLOOKUP(A26,'Contribution Allocation_Report'!$A$9:$D$314,4,FALSE)</f>
        <v>3.7541401795299198E-4</v>
      </c>
      <c r="D26" s="11"/>
      <c r="E26" s="241">
        <f>VLOOKUP(A26,'Contribution Allocation_Rep 23'!$A$9:$D$312,4,FALSE)</f>
        <v>4.2888902386068199E-4</v>
      </c>
      <c r="F26" s="123"/>
      <c r="G26" s="134">
        <f t="shared" si="0"/>
        <v>-172444</v>
      </c>
      <c r="H26" s="240">
        <f t="shared" si="2"/>
        <v>-29080</v>
      </c>
      <c r="I26" s="120">
        <f t="shared" si="9"/>
        <v>-143364</v>
      </c>
      <c r="J26" s="120"/>
      <c r="K26" s="117"/>
      <c r="L26" s="243">
        <f t="shared" si="3"/>
        <v>-29080</v>
      </c>
      <c r="M26" s="243">
        <f t="shared" si="4"/>
        <v>-29080</v>
      </c>
      <c r="N26" s="243">
        <f t="shared" si="5"/>
        <v>-29080</v>
      </c>
      <c r="O26" s="243">
        <f t="shared" si="6"/>
        <v>-29080</v>
      </c>
      <c r="P26" s="244">
        <f t="shared" si="7"/>
        <v>-27044</v>
      </c>
      <c r="Q26" s="141">
        <f t="shared" si="8"/>
        <v>0</v>
      </c>
    </row>
    <row r="27" spans="1:17">
      <c r="A27" s="195">
        <v>20316</v>
      </c>
      <c r="B27" s="196" t="s">
        <v>21</v>
      </c>
      <c r="C27" s="201">
        <f>VLOOKUP(A27,'Contribution Allocation_Report'!$A$9:$D$314,4,FALSE)</f>
        <v>2.6541149998671881E-4</v>
      </c>
      <c r="D27" s="11"/>
      <c r="E27" s="241">
        <f>VLOOKUP(A27,'Contribution Allocation_Rep 23'!$A$9:$D$312,4,FALSE)</f>
        <v>2.7282461416859328E-4</v>
      </c>
      <c r="F27" s="123"/>
      <c r="G27" s="134">
        <f t="shared" si="0"/>
        <v>-23906</v>
      </c>
      <c r="H27" s="240">
        <f t="shared" si="2"/>
        <v>-4031</v>
      </c>
      <c r="I27" s="120">
        <f t="shared" si="9"/>
        <v>-19875</v>
      </c>
      <c r="J27" s="120"/>
      <c r="K27" s="117"/>
      <c r="L27" s="243">
        <f t="shared" si="3"/>
        <v>-4031</v>
      </c>
      <c r="M27" s="243">
        <f t="shared" si="4"/>
        <v>-4031</v>
      </c>
      <c r="N27" s="243">
        <f t="shared" si="5"/>
        <v>-4031</v>
      </c>
      <c r="O27" s="243">
        <f t="shared" si="6"/>
        <v>-4031</v>
      </c>
      <c r="P27" s="244">
        <f t="shared" si="7"/>
        <v>-3751</v>
      </c>
      <c r="Q27" s="141">
        <f t="shared" si="8"/>
        <v>0</v>
      </c>
    </row>
    <row r="28" spans="1:17">
      <c r="A28" s="193">
        <v>23121</v>
      </c>
      <c r="B28" s="194" t="s">
        <v>22</v>
      </c>
      <c r="C28" s="200">
        <f>VLOOKUP(A28,'Contribution Allocation_Report'!$A$9:$D$314,4,FALSE)</f>
        <v>3.2415802671217605E-4</v>
      </c>
      <c r="D28" s="11"/>
      <c r="E28" s="241">
        <f>VLOOKUP(A28,'Contribution Allocation_Rep 23'!$A$9:$D$312,4,FALSE)</f>
        <v>3.0944859037458525E-4</v>
      </c>
      <c r="F28" s="123"/>
      <c r="G28" s="134">
        <f t="shared" si="0"/>
        <v>47435</v>
      </c>
      <c r="H28" s="240">
        <f t="shared" si="2"/>
        <v>7999</v>
      </c>
      <c r="I28" s="120">
        <f t="shared" si="9"/>
        <v>39436</v>
      </c>
      <c r="J28" s="120"/>
      <c r="K28" s="117"/>
      <c r="L28" s="243">
        <f t="shared" si="3"/>
        <v>7999</v>
      </c>
      <c r="M28" s="243">
        <f t="shared" si="4"/>
        <v>7999</v>
      </c>
      <c r="N28" s="243">
        <f t="shared" si="5"/>
        <v>7999</v>
      </c>
      <c r="O28" s="243">
        <f t="shared" si="6"/>
        <v>7999</v>
      </c>
      <c r="P28" s="244">
        <f t="shared" si="7"/>
        <v>7440</v>
      </c>
      <c r="Q28" s="141">
        <f t="shared" si="8"/>
        <v>0</v>
      </c>
    </row>
    <row r="29" spans="1:17">
      <c r="A29" s="195">
        <v>3004</v>
      </c>
      <c r="B29" s="196" t="s">
        <v>23</v>
      </c>
      <c r="C29" s="201">
        <f>VLOOKUP(A29,'Contribution Allocation_Report'!$A$9:$D$314,4,FALSE)</f>
        <v>4.7369000054577268E-3</v>
      </c>
      <c r="D29" s="11"/>
      <c r="E29" s="241">
        <f>VLOOKUP(A29,'Contribution Allocation_Rep 23'!$A$9:$D$312,4,FALSE)</f>
        <v>4.9318396373410935E-3</v>
      </c>
      <c r="F29" s="123"/>
      <c r="G29" s="134">
        <f t="shared" si="0"/>
        <v>-628635</v>
      </c>
      <c r="H29" s="240">
        <f t="shared" si="2"/>
        <v>-106009</v>
      </c>
      <c r="I29" s="120">
        <f t="shared" si="9"/>
        <v>-522626</v>
      </c>
      <c r="J29" s="120"/>
      <c r="K29" s="117"/>
      <c r="L29" s="243">
        <f t="shared" si="3"/>
        <v>-106009</v>
      </c>
      <c r="M29" s="243">
        <f t="shared" si="4"/>
        <v>-106009</v>
      </c>
      <c r="N29" s="243">
        <f t="shared" si="5"/>
        <v>-106009</v>
      </c>
      <c r="O29" s="243">
        <f t="shared" si="6"/>
        <v>-106009</v>
      </c>
      <c r="P29" s="244">
        <f t="shared" si="7"/>
        <v>-98590</v>
      </c>
      <c r="Q29" s="141">
        <f t="shared" si="8"/>
        <v>0</v>
      </c>
    </row>
    <row r="30" spans="1:17">
      <c r="A30" s="193">
        <v>16050</v>
      </c>
      <c r="B30" s="194" t="s">
        <v>24</v>
      </c>
      <c r="C30" s="200">
        <f>VLOOKUP(A30,'Contribution Allocation_Report'!$A$9:$D$314,4,FALSE)</f>
        <v>3.1064758183961599E-3</v>
      </c>
      <c r="D30" s="11"/>
      <c r="E30" s="241">
        <f>VLOOKUP(A30,'Contribution Allocation_Rep 23'!$A$9:$D$312,4,FALSE)</f>
        <v>3.3197211748157893E-3</v>
      </c>
      <c r="F30" s="123"/>
      <c r="G30" s="134">
        <f t="shared" si="0"/>
        <v>-687667</v>
      </c>
      <c r="H30" s="240">
        <f t="shared" si="2"/>
        <v>-115964</v>
      </c>
      <c r="I30" s="120">
        <f t="shared" si="9"/>
        <v>-571703</v>
      </c>
      <c r="J30" s="120"/>
      <c r="K30" s="117"/>
      <c r="L30" s="243">
        <f t="shared" si="3"/>
        <v>-115964</v>
      </c>
      <c r="M30" s="243">
        <f t="shared" si="4"/>
        <v>-115964</v>
      </c>
      <c r="N30" s="243">
        <f t="shared" si="5"/>
        <v>-115964</v>
      </c>
      <c r="O30" s="243">
        <f t="shared" si="6"/>
        <v>-115964</v>
      </c>
      <c r="P30" s="244">
        <f t="shared" si="7"/>
        <v>-107847</v>
      </c>
      <c r="Q30" s="141">
        <f t="shared" si="8"/>
        <v>0</v>
      </c>
    </row>
    <row r="31" spans="1:17">
      <c r="A31" s="195">
        <v>14043</v>
      </c>
      <c r="B31" s="196" t="s">
        <v>25</v>
      </c>
      <c r="C31" s="201">
        <f>VLOOKUP(A31,'Contribution Allocation_Report'!$A$9:$D$314,4,FALSE)</f>
        <v>4.7482064741137886E-3</v>
      </c>
      <c r="D31" s="11"/>
      <c r="E31" s="241">
        <f>VLOOKUP(A31,'Contribution Allocation_Rep 23'!$A$9:$D$312,4,FALSE)</f>
        <v>4.9587990744147771E-3</v>
      </c>
      <c r="F31" s="123"/>
      <c r="G31" s="134">
        <f t="shared" si="0"/>
        <v>-679112</v>
      </c>
      <c r="H31" s="240">
        <f t="shared" si="2"/>
        <v>-114521</v>
      </c>
      <c r="I31" s="120">
        <f t="shared" si="9"/>
        <v>-564591</v>
      </c>
      <c r="J31" s="120"/>
      <c r="K31" s="117"/>
      <c r="L31" s="243">
        <f t="shared" si="3"/>
        <v>-114521</v>
      </c>
      <c r="M31" s="243">
        <f t="shared" si="4"/>
        <v>-114521</v>
      </c>
      <c r="N31" s="243">
        <f t="shared" si="5"/>
        <v>-114521</v>
      </c>
      <c r="O31" s="243">
        <f t="shared" si="6"/>
        <v>-114521</v>
      </c>
      <c r="P31" s="244">
        <f t="shared" si="7"/>
        <v>-106507</v>
      </c>
      <c r="Q31" s="141">
        <f t="shared" si="8"/>
        <v>0</v>
      </c>
    </row>
    <row r="32" spans="1:17">
      <c r="A32" s="193">
        <v>3010</v>
      </c>
      <c r="B32" s="194" t="s">
        <v>26</v>
      </c>
      <c r="C32" s="200">
        <f>VLOOKUP(A32,'Contribution Allocation_Report'!$A$9:$D$314,4,FALSE)</f>
        <v>2.9001029289085132E-2</v>
      </c>
      <c r="D32" s="11"/>
      <c r="E32" s="241">
        <f>VLOOKUP(A32,'Contribution Allocation_Rep 23'!$A$9:$D$312,4,FALSE)</f>
        <v>2.7505156145122125E-2</v>
      </c>
      <c r="F32" s="123"/>
      <c r="G32" s="134">
        <f t="shared" si="0"/>
        <v>4823844</v>
      </c>
      <c r="H32" s="240">
        <f t="shared" si="2"/>
        <v>813464</v>
      </c>
      <c r="I32" s="120">
        <f t="shared" si="9"/>
        <v>4010380</v>
      </c>
      <c r="J32" s="120"/>
      <c r="K32" s="117"/>
      <c r="L32" s="243">
        <f t="shared" si="3"/>
        <v>813464</v>
      </c>
      <c r="M32" s="243">
        <f t="shared" si="4"/>
        <v>813464</v>
      </c>
      <c r="N32" s="243">
        <f t="shared" si="5"/>
        <v>813464</v>
      </c>
      <c r="O32" s="243">
        <f t="shared" si="6"/>
        <v>813464</v>
      </c>
      <c r="P32" s="244">
        <f t="shared" si="7"/>
        <v>756524</v>
      </c>
      <c r="Q32" s="141">
        <f t="shared" si="8"/>
        <v>0</v>
      </c>
    </row>
    <row r="33" spans="1:17">
      <c r="A33" s="195">
        <v>29086</v>
      </c>
      <c r="B33" s="196" t="s">
        <v>27</v>
      </c>
      <c r="C33" s="201">
        <f>VLOOKUP(A33,'Contribution Allocation_Report'!$A$9:$D$314,4,FALSE)</f>
        <v>5.3844151840189407E-3</v>
      </c>
      <c r="D33" s="11"/>
      <c r="E33" s="241">
        <f>VLOOKUP(A33,'Contribution Allocation_Rep 23'!$A$9:$D$312,4,FALSE)</f>
        <v>5.4775150568412406E-3</v>
      </c>
      <c r="F33" s="123"/>
      <c r="G33" s="134">
        <f t="shared" si="0"/>
        <v>-300226</v>
      </c>
      <c r="H33" s="240">
        <f t="shared" si="2"/>
        <v>-50628</v>
      </c>
      <c r="I33" s="120">
        <f t="shared" si="9"/>
        <v>-249598</v>
      </c>
      <c r="J33" s="120"/>
      <c r="K33" s="117"/>
      <c r="L33" s="243">
        <f t="shared" si="3"/>
        <v>-50628</v>
      </c>
      <c r="M33" s="243">
        <f t="shared" si="4"/>
        <v>-50628</v>
      </c>
      <c r="N33" s="243">
        <f t="shared" si="5"/>
        <v>-50628</v>
      </c>
      <c r="O33" s="243">
        <f t="shared" si="6"/>
        <v>-50628</v>
      </c>
      <c r="P33" s="244">
        <f t="shared" si="7"/>
        <v>-47086</v>
      </c>
      <c r="Q33" s="141">
        <f t="shared" si="8"/>
        <v>0</v>
      </c>
    </row>
    <row r="34" spans="1:17">
      <c r="A34" s="193">
        <v>16051</v>
      </c>
      <c r="B34" s="194" t="s">
        <v>28</v>
      </c>
      <c r="C34" s="200">
        <f>VLOOKUP(A34,'Contribution Allocation_Report'!$A$9:$D$314,4,FALSE)</f>
        <v>3.7341183079514758E-3</v>
      </c>
      <c r="D34" s="11"/>
      <c r="E34" s="241">
        <f>VLOOKUP(A34,'Contribution Allocation_Rep 23'!$A$9:$D$312,4,FALSE)</f>
        <v>3.8461548199278535E-3</v>
      </c>
      <c r="F34" s="123"/>
      <c r="G34" s="134">
        <f t="shared" si="0"/>
        <v>-361292</v>
      </c>
      <c r="H34" s="240">
        <f t="shared" si="2"/>
        <v>-60926</v>
      </c>
      <c r="I34" s="120">
        <f t="shared" si="9"/>
        <v>-300366</v>
      </c>
      <c r="J34" s="120"/>
      <c r="K34" s="117"/>
      <c r="L34" s="243">
        <f t="shared" si="3"/>
        <v>-60926</v>
      </c>
      <c r="M34" s="243">
        <f t="shared" si="4"/>
        <v>-60926</v>
      </c>
      <c r="N34" s="243">
        <f t="shared" si="5"/>
        <v>-60926</v>
      </c>
      <c r="O34" s="243">
        <f t="shared" si="6"/>
        <v>-60926</v>
      </c>
      <c r="P34" s="244">
        <f t="shared" si="7"/>
        <v>-56662</v>
      </c>
      <c r="Q34" s="141">
        <f t="shared" si="8"/>
        <v>0</v>
      </c>
    </row>
    <row r="35" spans="1:17">
      <c r="A35" s="195">
        <v>26077</v>
      </c>
      <c r="B35" s="196" t="s">
        <v>29</v>
      </c>
      <c r="C35" s="201">
        <f>VLOOKUP(A35,'Contribution Allocation_Report'!$A$9:$D$314,4,FALSE)</f>
        <v>7.6206383913294585E-4</v>
      </c>
      <c r="D35" s="11"/>
      <c r="E35" s="241">
        <f>VLOOKUP(A35,'Contribution Allocation_Rep 23'!$A$9:$D$312,4,FALSE)</f>
        <v>7.3680106600826974E-4</v>
      </c>
      <c r="F35" s="123"/>
      <c r="G35" s="134">
        <f t="shared" si="0"/>
        <v>81467</v>
      </c>
      <c r="H35" s="240">
        <f t="shared" si="2"/>
        <v>13738</v>
      </c>
      <c r="I35" s="120">
        <f t="shared" si="9"/>
        <v>67729</v>
      </c>
      <c r="J35" s="120"/>
      <c r="K35" s="117"/>
      <c r="L35" s="243">
        <f t="shared" si="3"/>
        <v>13738</v>
      </c>
      <c r="M35" s="243">
        <f t="shared" si="4"/>
        <v>13738</v>
      </c>
      <c r="N35" s="243">
        <f t="shared" si="5"/>
        <v>13738</v>
      </c>
      <c r="O35" s="243">
        <f t="shared" si="6"/>
        <v>13738</v>
      </c>
      <c r="P35" s="244">
        <f t="shared" si="7"/>
        <v>12777</v>
      </c>
      <c r="Q35" s="141">
        <f t="shared" si="8"/>
        <v>0</v>
      </c>
    </row>
    <row r="36" spans="1:17">
      <c r="A36" s="193">
        <v>3005</v>
      </c>
      <c r="B36" s="194" t="s">
        <v>30</v>
      </c>
      <c r="C36" s="200">
        <f>VLOOKUP(A36,'Contribution Allocation_Report'!$A$9:$D$314,4,FALSE)</f>
        <v>9.5797981545660375E-3</v>
      </c>
      <c r="D36" s="11"/>
      <c r="E36" s="241">
        <f>VLOOKUP(A36,'Contribution Allocation_Rep 23'!$A$9:$D$312,4,FALSE)</f>
        <v>9.1687753390225606E-3</v>
      </c>
      <c r="F36" s="123"/>
      <c r="G36" s="134">
        <f t="shared" si="0"/>
        <v>1325453</v>
      </c>
      <c r="H36" s="240">
        <f t="shared" si="2"/>
        <v>223517</v>
      </c>
      <c r="I36" s="120">
        <f t="shared" si="9"/>
        <v>1101936</v>
      </c>
      <c r="J36" s="120"/>
      <c r="K36" s="117"/>
      <c r="L36" s="243">
        <f t="shared" si="3"/>
        <v>223517</v>
      </c>
      <c r="M36" s="243">
        <f t="shared" si="4"/>
        <v>223517</v>
      </c>
      <c r="N36" s="243">
        <f t="shared" si="5"/>
        <v>223517</v>
      </c>
      <c r="O36" s="243">
        <f t="shared" si="6"/>
        <v>223517</v>
      </c>
      <c r="P36" s="244">
        <f t="shared" si="7"/>
        <v>207868</v>
      </c>
      <c r="Q36" s="141">
        <f t="shared" si="8"/>
        <v>0</v>
      </c>
    </row>
    <row r="37" spans="1:17">
      <c r="A37" s="195">
        <v>26078</v>
      </c>
      <c r="B37" s="196" t="s">
        <v>31</v>
      </c>
      <c r="C37" s="201">
        <f>VLOOKUP(A37,'Contribution Allocation_Report'!$A$9:$D$314,4,FALSE)</f>
        <v>3.0744172687276167E-4</v>
      </c>
      <c r="D37" s="11"/>
      <c r="E37" s="241">
        <f>VLOOKUP(A37,'Contribution Allocation_Rep 23'!$A$9:$D$312,4,FALSE)</f>
        <v>3.1984648206977867E-4</v>
      </c>
      <c r="F37" s="123"/>
      <c r="G37" s="134">
        <f t="shared" si="0"/>
        <v>-40002</v>
      </c>
      <c r="H37" s="240">
        <f t="shared" si="2"/>
        <v>-6746</v>
      </c>
      <c r="I37" s="120">
        <f t="shared" si="9"/>
        <v>-33256</v>
      </c>
      <c r="J37" s="120"/>
      <c r="K37" s="117"/>
      <c r="L37" s="243">
        <f t="shared" si="3"/>
        <v>-6746</v>
      </c>
      <c r="M37" s="243">
        <f t="shared" si="4"/>
        <v>-6746</v>
      </c>
      <c r="N37" s="243">
        <f t="shared" si="5"/>
        <v>-6746</v>
      </c>
      <c r="O37" s="243">
        <f t="shared" si="6"/>
        <v>-6746</v>
      </c>
      <c r="P37" s="244">
        <f t="shared" si="7"/>
        <v>-6272</v>
      </c>
      <c r="Q37" s="141">
        <f t="shared" si="8"/>
        <v>0</v>
      </c>
    </row>
    <row r="38" spans="1:17">
      <c r="A38" s="193">
        <v>16053</v>
      </c>
      <c r="B38" s="194" t="s">
        <v>32</v>
      </c>
      <c r="C38" s="200">
        <f>VLOOKUP(A38,'Contribution Allocation_Report'!$A$9:$D$314,4,FALSE)</f>
        <v>9.3188150214696102E-3</v>
      </c>
      <c r="D38" s="11"/>
      <c r="E38" s="241">
        <f>VLOOKUP(A38,'Contribution Allocation_Rep 23'!$A$9:$D$312,4,FALSE)</f>
        <v>1.0134399865426313E-2</v>
      </c>
      <c r="F38" s="123"/>
      <c r="G38" s="134">
        <f t="shared" si="0"/>
        <v>-2630072</v>
      </c>
      <c r="H38" s="240">
        <f t="shared" si="2"/>
        <v>-443520</v>
      </c>
      <c r="I38" s="120">
        <f t="shared" si="9"/>
        <v>-2186552</v>
      </c>
      <c r="J38" s="120"/>
      <c r="K38" s="117"/>
      <c r="L38" s="243">
        <f t="shared" si="3"/>
        <v>-443520</v>
      </c>
      <c r="M38" s="243">
        <f t="shared" si="4"/>
        <v>-443520</v>
      </c>
      <c r="N38" s="243">
        <f t="shared" si="5"/>
        <v>-443520</v>
      </c>
      <c r="O38" s="243">
        <f t="shared" si="6"/>
        <v>-443520</v>
      </c>
      <c r="P38" s="244">
        <f t="shared" si="7"/>
        <v>-412472</v>
      </c>
      <c r="Q38" s="141">
        <f t="shared" si="8"/>
        <v>0</v>
      </c>
    </row>
    <row r="39" spans="1:17">
      <c r="A39" s="195">
        <v>2123</v>
      </c>
      <c r="B39" s="196" t="s">
        <v>33</v>
      </c>
      <c r="C39" s="201">
        <f>VLOOKUP(A39,'Contribution Allocation_Report'!$A$9:$D$314,4,FALSE)</f>
        <v>1.5762716983990691E-2</v>
      </c>
      <c r="D39" s="11"/>
      <c r="E39" s="241">
        <f>VLOOKUP(A39,'Contribution Allocation_Rep 23'!$A$9:$D$312,4,FALSE)</f>
        <v>1.4722305881161911E-2</v>
      </c>
      <c r="F39" s="123"/>
      <c r="G39" s="134">
        <f t="shared" si="0"/>
        <v>3355085</v>
      </c>
      <c r="H39" s="240">
        <f t="shared" si="2"/>
        <v>565782</v>
      </c>
      <c r="I39" s="120">
        <f t="shared" si="9"/>
        <v>2789303</v>
      </c>
      <c r="J39" s="120"/>
      <c r="K39" s="117"/>
      <c r="L39" s="243">
        <f t="shared" si="3"/>
        <v>565782</v>
      </c>
      <c r="M39" s="243">
        <f t="shared" si="4"/>
        <v>565782</v>
      </c>
      <c r="N39" s="243">
        <f t="shared" si="5"/>
        <v>565782</v>
      </c>
      <c r="O39" s="243">
        <f t="shared" si="6"/>
        <v>565782</v>
      </c>
      <c r="P39" s="244">
        <f t="shared" si="7"/>
        <v>526175</v>
      </c>
      <c r="Q39" s="141">
        <f t="shared" si="8"/>
        <v>0</v>
      </c>
    </row>
    <row r="40" spans="1:17">
      <c r="A40" s="193">
        <v>2150</v>
      </c>
      <c r="B40" s="194" t="s">
        <v>34</v>
      </c>
      <c r="C40" s="200">
        <f>VLOOKUP(A40,'Contribution Allocation_Report'!$A$9:$D$314,4,FALSE)</f>
        <v>1.3283844396578125E-3</v>
      </c>
      <c r="D40" s="11"/>
      <c r="E40" s="241">
        <f>VLOOKUP(A40,'Contribution Allocation_Rep 23'!$A$9:$D$312,4,FALSE)</f>
        <v>1.0260824609035126E-3</v>
      </c>
      <c r="F40" s="123"/>
      <c r="G40" s="134">
        <f t="shared" si="0"/>
        <v>974854</v>
      </c>
      <c r="H40" s="240">
        <f t="shared" si="2"/>
        <v>164394</v>
      </c>
      <c r="I40" s="120">
        <f t="shared" si="9"/>
        <v>810460</v>
      </c>
      <c r="J40" s="120"/>
      <c r="K40" s="117"/>
      <c r="L40" s="243">
        <f t="shared" si="3"/>
        <v>164394</v>
      </c>
      <c r="M40" s="243">
        <f t="shared" si="4"/>
        <v>164394</v>
      </c>
      <c r="N40" s="243">
        <f t="shared" si="5"/>
        <v>164394</v>
      </c>
      <c r="O40" s="243">
        <f t="shared" si="6"/>
        <v>164394</v>
      </c>
      <c r="P40" s="244">
        <f t="shared" si="7"/>
        <v>152884</v>
      </c>
      <c r="Q40" s="141">
        <f t="shared" si="8"/>
        <v>0</v>
      </c>
    </row>
    <row r="41" spans="1:17">
      <c r="A41" s="195">
        <v>2336</v>
      </c>
      <c r="B41" s="196" t="s">
        <v>35</v>
      </c>
      <c r="C41" s="201">
        <f>VLOOKUP(A41,'Contribution Allocation_Report'!$A$9:$D$314,4,FALSE)</f>
        <v>2.5014776730103466E-4</v>
      </c>
      <c r="D41" s="11"/>
      <c r="E41" s="241">
        <f>VLOOKUP(A41,'Contribution Allocation_Rep 23'!$A$9:$D$312,4,FALSE)</f>
        <v>2.5181930147452495E-4</v>
      </c>
      <c r="F41" s="123"/>
      <c r="G41" s="134">
        <f t="shared" si="0"/>
        <v>-5390</v>
      </c>
      <c r="H41" s="240">
        <f t="shared" si="2"/>
        <v>-909</v>
      </c>
      <c r="I41" s="120">
        <f t="shared" si="9"/>
        <v>-4481</v>
      </c>
      <c r="J41" s="120"/>
      <c r="K41" s="117"/>
      <c r="L41" s="243">
        <f t="shared" si="3"/>
        <v>-909</v>
      </c>
      <c r="M41" s="243">
        <f t="shared" si="4"/>
        <v>-909</v>
      </c>
      <c r="N41" s="243">
        <f t="shared" si="5"/>
        <v>-909</v>
      </c>
      <c r="O41" s="243">
        <f t="shared" si="6"/>
        <v>-909</v>
      </c>
      <c r="P41" s="244">
        <f t="shared" si="7"/>
        <v>-845</v>
      </c>
      <c r="Q41" s="141">
        <f t="shared" si="8"/>
        <v>0</v>
      </c>
    </row>
    <row r="42" spans="1:17">
      <c r="A42" s="193">
        <v>17126</v>
      </c>
      <c r="B42" s="194" t="s">
        <v>36</v>
      </c>
      <c r="C42" s="200">
        <f>VLOOKUP(A42,'Contribution Allocation_Report'!$A$9:$D$314,4,FALSE)</f>
        <v>6.8639686799511755E-4</v>
      </c>
      <c r="D42" s="11"/>
      <c r="E42" s="241">
        <f>VLOOKUP(A42,'Contribution Allocation_Rep 23'!$A$9:$D$312,4,FALSE)</f>
        <v>7.3142314721377842E-4</v>
      </c>
      <c r="F42" s="123"/>
      <c r="G42" s="134">
        <f t="shared" si="0"/>
        <v>-145199</v>
      </c>
      <c r="H42" s="240">
        <f t="shared" si="2"/>
        <v>-24485</v>
      </c>
      <c r="I42" s="120">
        <f t="shared" si="9"/>
        <v>-120714</v>
      </c>
      <c r="J42" s="120"/>
      <c r="K42" s="117"/>
      <c r="L42" s="243">
        <f t="shared" si="3"/>
        <v>-24485</v>
      </c>
      <c r="M42" s="243">
        <f t="shared" si="4"/>
        <v>-24485</v>
      </c>
      <c r="N42" s="243">
        <f t="shared" si="5"/>
        <v>-24485</v>
      </c>
      <c r="O42" s="243">
        <f t="shared" si="6"/>
        <v>-24485</v>
      </c>
      <c r="P42" s="244">
        <f t="shared" si="7"/>
        <v>-22774</v>
      </c>
      <c r="Q42" s="141">
        <f t="shared" si="8"/>
        <v>0</v>
      </c>
    </row>
    <row r="43" spans="1:17">
      <c r="A43" s="195">
        <v>3030</v>
      </c>
      <c r="B43" s="196" t="s">
        <v>37</v>
      </c>
      <c r="C43" s="201">
        <f>VLOOKUP(A43,'Contribution Allocation_Report'!$A$9:$D$314,4,FALSE)</f>
        <v>1.7689912418130862E-3</v>
      </c>
      <c r="D43" s="11"/>
      <c r="E43" s="241">
        <f>VLOOKUP(A43,'Contribution Allocation_Rep 23'!$A$9:$D$312,4,FALSE)</f>
        <v>1.7879921218029462E-3</v>
      </c>
      <c r="F43" s="123"/>
      <c r="G43" s="134">
        <f t="shared" si="0"/>
        <v>-61273</v>
      </c>
      <c r="H43" s="240">
        <f t="shared" si="2"/>
        <v>-10333</v>
      </c>
      <c r="I43" s="120">
        <f t="shared" si="9"/>
        <v>-50940</v>
      </c>
      <c r="J43" s="120"/>
      <c r="K43" s="117"/>
      <c r="L43" s="243">
        <f t="shared" si="3"/>
        <v>-10333</v>
      </c>
      <c r="M43" s="243">
        <f t="shared" si="4"/>
        <v>-10333</v>
      </c>
      <c r="N43" s="243">
        <f t="shared" si="5"/>
        <v>-10333</v>
      </c>
      <c r="O43" s="243">
        <f t="shared" si="6"/>
        <v>-10333</v>
      </c>
      <c r="P43" s="244">
        <f t="shared" si="7"/>
        <v>-9608</v>
      </c>
      <c r="Q43" s="141">
        <f t="shared" si="8"/>
        <v>0</v>
      </c>
    </row>
    <row r="44" spans="1:17">
      <c r="A44" s="193">
        <v>2353</v>
      </c>
      <c r="B44" s="194" t="s">
        <v>38</v>
      </c>
      <c r="C44" s="200">
        <f>VLOOKUP(A44,'Contribution Allocation_Report'!$A$9:$D$314,4,FALSE)</f>
        <v>7.6840017260894746E-4</v>
      </c>
      <c r="D44" s="11"/>
      <c r="E44" s="241">
        <f>VLOOKUP(A44,'Contribution Allocation_Rep 23'!$A$9:$D$312,4,FALSE)</f>
        <v>6.5965936070287159E-4</v>
      </c>
      <c r="F44" s="123"/>
      <c r="G44" s="134">
        <f t="shared" si="0"/>
        <v>350664</v>
      </c>
      <c r="H44" s="240">
        <f t="shared" si="2"/>
        <v>59134</v>
      </c>
      <c r="I44" s="120">
        <f t="shared" si="9"/>
        <v>291530</v>
      </c>
      <c r="J44" s="120"/>
      <c r="K44" s="117"/>
      <c r="L44" s="243">
        <f t="shared" si="3"/>
        <v>59134</v>
      </c>
      <c r="M44" s="243">
        <f t="shared" si="4"/>
        <v>59134</v>
      </c>
      <c r="N44" s="243">
        <f t="shared" si="5"/>
        <v>59134</v>
      </c>
      <c r="O44" s="243">
        <f t="shared" si="6"/>
        <v>59134</v>
      </c>
      <c r="P44" s="244">
        <f t="shared" si="7"/>
        <v>54994</v>
      </c>
      <c r="Q44" s="141">
        <f t="shared" si="8"/>
        <v>0</v>
      </c>
    </row>
    <row r="45" spans="1:17">
      <c r="A45" s="195">
        <v>3040</v>
      </c>
      <c r="B45" s="196" t="s">
        <v>39</v>
      </c>
      <c r="C45" s="201">
        <f>VLOOKUP(A45,'Contribution Allocation_Report'!$A$9:$D$314,4,FALSE)</f>
        <v>8.2249848444246798E-4</v>
      </c>
      <c r="D45" s="11"/>
      <c r="E45" s="241">
        <f>VLOOKUP(A45,'Contribution Allocation_Rep 23'!$A$9:$D$312,4,FALSE)</f>
        <v>7.4110514712139345E-4</v>
      </c>
      <c r="F45" s="123"/>
      <c r="G45" s="134">
        <f t="shared" si="0"/>
        <v>262475</v>
      </c>
      <c r="H45" s="240">
        <f t="shared" si="2"/>
        <v>44262</v>
      </c>
      <c r="I45" s="120">
        <f t="shared" si="9"/>
        <v>218213</v>
      </c>
      <c r="J45" s="120"/>
      <c r="K45" s="117"/>
      <c r="L45" s="243">
        <f t="shared" si="3"/>
        <v>44262</v>
      </c>
      <c r="M45" s="243">
        <f t="shared" si="4"/>
        <v>44262</v>
      </c>
      <c r="N45" s="243">
        <f t="shared" si="5"/>
        <v>44262</v>
      </c>
      <c r="O45" s="243">
        <f t="shared" si="6"/>
        <v>44262</v>
      </c>
      <c r="P45" s="244">
        <f t="shared" si="7"/>
        <v>41165</v>
      </c>
      <c r="Q45" s="141">
        <f t="shared" si="8"/>
        <v>0</v>
      </c>
    </row>
    <row r="46" spans="1:17">
      <c r="A46" s="193">
        <v>2367</v>
      </c>
      <c r="B46" s="194" t="s">
        <v>40</v>
      </c>
      <c r="C46" s="200">
        <f>VLOOKUP(A46,'Contribution Allocation_Report'!$A$9:$D$314,4,FALSE)</f>
        <v>6.5937911893573526E-4</v>
      </c>
      <c r="D46" s="11"/>
      <c r="E46" s="241">
        <f>VLOOKUP(A46,'Contribution Allocation_Rep 23'!$A$9:$D$312,4,FALSE)</f>
        <v>6.047976046889375E-4</v>
      </c>
      <c r="F46" s="123"/>
      <c r="G46" s="134">
        <f t="shared" si="0"/>
        <v>176013</v>
      </c>
      <c r="H46" s="240">
        <f t="shared" si="2"/>
        <v>29682</v>
      </c>
      <c r="I46" s="120">
        <f t="shared" si="9"/>
        <v>146331</v>
      </c>
      <c r="J46" s="120"/>
      <c r="K46" s="117"/>
      <c r="L46" s="243">
        <f t="shared" si="3"/>
        <v>29682</v>
      </c>
      <c r="M46" s="243">
        <f t="shared" si="4"/>
        <v>29682</v>
      </c>
      <c r="N46" s="243">
        <f t="shared" si="5"/>
        <v>29682</v>
      </c>
      <c r="O46" s="243">
        <f t="shared" si="6"/>
        <v>29682</v>
      </c>
      <c r="P46" s="244">
        <f t="shared" si="7"/>
        <v>27603</v>
      </c>
      <c r="Q46" s="141">
        <f t="shared" si="8"/>
        <v>0</v>
      </c>
    </row>
    <row r="47" spans="1:17">
      <c r="A47" s="195">
        <v>9027</v>
      </c>
      <c r="B47" s="196" t="s">
        <v>41</v>
      </c>
      <c r="C47" s="201">
        <f>VLOOKUP(A47,'Contribution Allocation_Report'!$A$9:$D$314,4,FALSE)</f>
        <v>7.0012951638362658E-4</v>
      </c>
      <c r="D47" s="11"/>
      <c r="E47" s="241">
        <f>VLOOKUP(A47,'Contribution Allocation_Rep 23'!$A$9:$D$312,4,FALSE)</f>
        <v>7.5392135619657729E-4</v>
      </c>
      <c r="F47" s="123"/>
      <c r="G47" s="134">
        <f t="shared" si="0"/>
        <v>-173466</v>
      </c>
      <c r="H47" s="240">
        <f t="shared" si="2"/>
        <v>-29252</v>
      </c>
      <c r="I47" s="120">
        <f t="shared" si="9"/>
        <v>-144214</v>
      </c>
      <c r="J47" s="120"/>
      <c r="K47" s="117"/>
      <c r="L47" s="243">
        <f t="shared" si="3"/>
        <v>-29252</v>
      </c>
      <c r="M47" s="243">
        <f t="shared" si="4"/>
        <v>-29252</v>
      </c>
      <c r="N47" s="243">
        <f t="shared" si="5"/>
        <v>-29252</v>
      </c>
      <c r="O47" s="243">
        <f t="shared" si="6"/>
        <v>-29252</v>
      </c>
      <c r="P47" s="244">
        <f t="shared" si="7"/>
        <v>-27206</v>
      </c>
      <c r="Q47" s="141">
        <f t="shared" si="8"/>
        <v>0</v>
      </c>
    </row>
    <row r="48" spans="1:17">
      <c r="A48" s="193">
        <v>2010</v>
      </c>
      <c r="B48" s="194" t="s">
        <v>42</v>
      </c>
      <c r="C48" s="200">
        <f>VLOOKUP(A48,'Contribution Allocation_Report'!$A$9:$D$314,4,FALSE)</f>
        <v>2.6197009358952983E-3</v>
      </c>
      <c r="D48" s="11"/>
      <c r="E48" s="241">
        <f>VLOOKUP(A48,'Contribution Allocation_Rep 23'!$A$9:$D$312,4,FALSE)</f>
        <v>2.78640798423285E-3</v>
      </c>
      <c r="F48" s="123"/>
      <c r="G48" s="134">
        <f t="shared" si="0"/>
        <v>-537592</v>
      </c>
      <c r="H48" s="240">
        <f t="shared" si="2"/>
        <v>-90656</v>
      </c>
      <c r="I48" s="120">
        <f t="shared" si="9"/>
        <v>-446936</v>
      </c>
      <c r="J48" s="120"/>
      <c r="K48" s="117"/>
      <c r="L48" s="243">
        <f t="shared" si="3"/>
        <v>-90656</v>
      </c>
      <c r="M48" s="243">
        <f t="shared" si="4"/>
        <v>-90656</v>
      </c>
      <c r="N48" s="243">
        <f t="shared" si="5"/>
        <v>-90656</v>
      </c>
      <c r="O48" s="243">
        <f t="shared" si="6"/>
        <v>-90656</v>
      </c>
      <c r="P48" s="244">
        <f t="shared" si="7"/>
        <v>-84312</v>
      </c>
      <c r="Q48" s="141">
        <f t="shared" si="8"/>
        <v>0</v>
      </c>
    </row>
    <row r="49" spans="1:17">
      <c r="A49" s="195">
        <v>2020</v>
      </c>
      <c r="B49" s="196" t="s">
        <v>43</v>
      </c>
      <c r="C49" s="201">
        <f>VLOOKUP(A49,'Contribution Allocation_Report'!$A$9:$D$314,4,FALSE)</f>
        <v>6.5017235572967583E-2</v>
      </c>
      <c r="D49" s="11"/>
      <c r="E49" s="241">
        <f>VLOOKUP(A49,'Contribution Allocation_Rep 23'!$A$9:$D$312,4,FALSE)</f>
        <v>6.587595196474362E-2</v>
      </c>
      <c r="F49" s="123"/>
      <c r="G49" s="134">
        <f t="shared" si="0"/>
        <v>-2769161</v>
      </c>
      <c r="H49" s="240">
        <f t="shared" si="2"/>
        <v>-466975</v>
      </c>
      <c r="I49" s="120">
        <f t="shared" si="9"/>
        <v>-2302186</v>
      </c>
      <c r="J49" s="120"/>
      <c r="K49" s="117"/>
      <c r="L49" s="243">
        <f t="shared" si="3"/>
        <v>-466975</v>
      </c>
      <c r="M49" s="243">
        <f t="shared" si="4"/>
        <v>-466975</v>
      </c>
      <c r="N49" s="243">
        <f t="shared" si="5"/>
        <v>-466975</v>
      </c>
      <c r="O49" s="243">
        <f t="shared" si="6"/>
        <v>-466975</v>
      </c>
      <c r="P49" s="244">
        <f t="shared" si="7"/>
        <v>-434286</v>
      </c>
      <c r="Q49" s="141">
        <f t="shared" si="8"/>
        <v>0</v>
      </c>
    </row>
    <row r="50" spans="1:17">
      <c r="A50" s="193">
        <v>2040</v>
      </c>
      <c r="B50" s="194" t="s">
        <v>44</v>
      </c>
      <c r="C50" s="200">
        <f>VLOOKUP(A50,'Contribution Allocation_Report'!$A$9:$D$314,4,FALSE)</f>
        <v>8.840323697602183E-4</v>
      </c>
      <c r="D50" s="11"/>
      <c r="E50" s="241">
        <f>VLOOKUP(A50,'Contribution Allocation_Rep 23'!$A$9:$D$312,4,FALSE)</f>
        <v>9.4350172409004933E-4</v>
      </c>
      <c r="F50" s="123"/>
      <c r="G50" s="134">
        <f t="shared" si="0"/>
        <v>-191775</v>
      </c>
      <c r="H50" s="240">
        <f t="shared" si="2"/>
        <v>-32340</v>
      </c>
      <c r="I50" s="120">
        <f t="shared" si="9"/>
        <v>-159435</v>
      </c>
      <c r="J50" s="120"/>
      <c r="K50" s="117"/>
      <c r="L50" s="243">
        <f t="shared" si="3"/>
        <v>-32340</v>
      </c>
      <c r="M50" s="243">
        <f t="shared" si="4"/>
        <v>-32340</v>
      </c>
      <c r="N50" s="243">
        <f t="shared" si="5"/>
        <v>-32340</v>
      </c>
      <c r="O50" s="243">
        <f t="shared" si="6"/>
        <v>-32340</v>
      </c>
      <c r="P50" s="244">
        <f t="shared" si="7"/>
        <v>-30075</v>
      </c>
      <c r="Q50" s="141">
        <f t="shared" si="8"/>
        <v>0</v>
      </c>
    </row>
    <row r="51" spans="1:17">
      <c r="A51" s="195">
        <v>2060</v>
      </c>
      <c r="B51" s="196" t="s">
        <v>45</v>
      </c>
      <c r="C51" s="201">
        <f>VLOOKUP(A51,'Contribution Allocation_Report'!$A$9:$D$314,4,FALSE)</f>
        <v>1.2759978015513904E-3</v>
      </c>
      <c r="D51" s="11"/>
      <c r="E51" s="241">
        <f>VLOOKUP(A51,'Contribution Allocation_Rep 23'!$A$9:$D$312,4,FALSE)</f>
        <v>9.9417289403035385E-4</v>
      </c>
      <c r="F51" s="123"/>
      <c r="G51" s="134">
        <f t="shared" si="0"/>
        <v>908820</v>
      </c>
      <c r="H51" s="240">
        <f t="shared" si="2"/>
        <v>153258</v>
      </c>
      <c r="I51" s="120">
        <f t="shared" si="9"/>
        <v>755562</v>
      </c>
      <c r="J51" s="120"/>
      <c r="K51" s="117"/>
      <c r="L51" s="243">
        <f t="shared" si="3"/>
        <v>153258</v>
      </c>
      <c r="M51" s="243">
        <f t="shared" si="4"/>
        <v>153258</v>
      </c>
      <c r="N51" s="243">
        <f t="shared" si="5"/>
        <v>153258</v>
      </c>
      <c r="O51" s="243">
        <f t="shared" si="6"/>
        <v>153258</v>
      </c>
      <c r="P51" s="244">
        <f t="shared" si="7"/>
        <v>142530</v>
      </c>
      <c r="Q51" s="141">
        <f t="shared" si="8"/>
        <v>0</v>
      </c>
    </row>
    <row r="52" spans="1:17">
      <c r="A52" s="193">
        <v>2090</v>
      </c>
      <c r="B52" s="194" t="s">
        <v>46</v>
      </c>
      <c r="C52" s="200">
        <f>VLOOKUP(A52,'Contribution Allocation_Report'!$A$9:$D$314,4,FALSE)</f>
        <v>7.5527995793930847E-4</v>
      </c>
      <c r="D52" s="11"/>
      <c r="E52" s="241">
        <f>VLOOKUP(A52,'Contribution Allocation_Rep 23'!$A$9:$D$312,4,FALSE)</f>
        <v>7.6752330016056664E-4</v>
      </c>
      <c r="F52" s="123"/>
      <c r="G52" s="134">
        <f t="shared" si="0"/>
        <v>-39482</v>
      </c>
      <c r="H52" s="240">
        <f t="shared" si="2"/>
        <v>-6658</v>
      </c>
      <c r="I52" s="120">
        <f t="shared" si="9"/>
        <v>-32824</v>
      </c>
      <c r="J52" s="120"/>
      <c r="K52" s="117"/>
      <c r="L52" s="243">
        <f t="shared" si="3"/>
        <v>-6658</v>
      </c>
      <c r="M52" s="243">
        <f t="shared" si="4"/>
        <v>-6658</v>
      </c>
      <c r="N52" s="243">
        <f t="shared" si="5"/>
        <v>-6658</v>
      </c>
      <c r="O52" s="243">
        <f t="shared" si="6"/>
        <v>-6658</v>
      </c>
      <c r="P52" s="244">
        <f t="shared" si="7"/>
        <v>-6192</v>
      </c>
      <c r="Q52" s="141">
        <f t="shared" si="8"/>
        <v>0</v>
      </c>
    </row>
    <row r="53" spans="1:17">
      <c r="A53" s="195">
        <v>2110</v>
      </c>
      <c r="B53" s="223" t="s">
        <v>47</v>
      </c>
      <c r="C53" s="224">
        <f>VLOOKUP(A53,'Contribution Allocation_Report'!$A$9:$D$314,4,FALSE)</f>
        <v>5.1958248571786899E-3</v>
      </c>
      <c r="D53" s="11"/>
      <c r="E53" s="241">
        <f>VLOOKUP(A53,'Contribution Allocation_Rep 23'!$A$9:$D$312,4,FALSE)</f>
        <v>5.4314535315819288E-3</v>
      </c>
      <c r="F53" s="123"/>
      <c r="G53" s="134">
        <f t="shared" si="0"/>
        <v>-759848</v>
      </c>
      <c r="H53" s="240">
        <f t="shared" si="2"/>
        <v>-128136</v>
      </c>
      <c r="I53" s="120">
        <f t="shared" si="9"/>
        <v>-631712</v>
      </c>
      <c r="J53" s="120"/>
      <c r="K53" s="117"/>
      <c r="L53" s="243">
        <f t="shared" si="3"/>
        <v>-128136</v>
      </c>
      <c r="M53" s="243">
        <f t="shared" si="4"/>
        <v>-128136</v>
      </c>
      <c r="N53" s="243">
        <f t="shared" si="5"/>
        <v>-128136</v>
      </c>
      <c r="O53" s="243">
        <f t="shared" si="6"/>
        <v>-128136</v>
      </c>
      <c r="P53" s="244">
        <f t="shared" si="7"/>
        <v>-119168</v>
      </c>
      <c r="Q53" s="141">
        <f t="shared" si="8"/>
        <v>0</v>
      </c>
    </row>
    <row r="54" spans="1:17">
      <c r="A54" s="193">
        <v>2180</v>
      </c>
      <c r="B54" s="194" t="s">
        <v>48</v>
      </c>
      <c r="C54" s="200">
        <f>VLOOKUP(A54,'Contribution Allocation_Report'!$A$9:$D$314,4,FALSE)</f>
        <v>2.5949444805671287E-3</v>
      </c>
      <c r="D54" s="11"/>
      <c r="E54" s="241">
        <f>VLOOKUP(A54,'Contribution Allocation_Rep 23'!$A$9:$D$312,4,FALSE)</f>
        <v>2.7111520426605852E-3</v>
      </c>
      <c r="F54" s="123"/>
      <c r="G54" s="134">
        <f t="shared" si="0"/>
        <v>-374742</v>
      </c>
      <c r="H54" s="240">
        <f t="shared" si="2"/>
        <v>-63194</v>
      </c>
      <c r="I54" s="120">
        <f t="shared" si="9"/>
        <v>-311548</v>
      </c>
      <c r="J54" s="120"/>
      <c r="K54" s="117"/>
      <c r="L54" s="243">
        <f t="shared" si="3"/>
        <v>-63194</v>
      </c>
      <c r="M54" s="243">
        <f t="shared" si="4"/>
        <v>-63194</v>
      </c>
      <c r="N54" s="243">
        <f t="shared" si="5"/>
        <v>-63194</v>
      </c>
      <c r="O54" s="243">
        <f t="shared" si="6"/>
        <v>-63194</v>
      </c>
      <c r="P54" s="244">
        <f t="shared" si="7"/>
        <v>-58772</v>
      </c>
      <c r="Q54" s="141">
        <f t="shared" si="8"/>
        <v>0</v>
      </c>
    </row>
    <row r="55" spans="1:17">
      <c r="A55" s="298">
        <v>2210</v>
      </c>
      <c r="B55" s="299" t="s">
        <v>49</v>
      </c>
      <c r="C55" s="224">
        <f>VLOOKUP(A55,'Contribution Allocation_Report'!$A$9:$D$314,4,FALSE)</f>
        <v>1.1710046773369003E-3</v>
      </c>
      <c r="D55" s="11"/>
      <c r="E55" s="241">
        <f>VLOOKUP(A55,'Contribution Allocation_Rep 23'!$A$9:$D$312,4,FALSE)</f>
        <v>1.1211389216736771E-3</v>
      </c>
      <c r="F55" s="123"/>
      <c r="G55" s="134">
        <f t="shared" si="0"/>
        <v>160806</v>
      </c>
      <c r="H55" s="240">
        <f t="shared" si="2"/>
        <v>27117</v>
      </c>
      <c r="I55" s="120">
        <f t="shared" si="9"/>
        <v>133689</v>
      </c>
      <c r="J55" s="120"/>
      <c r="K55" s="117"/>
      <c r="L55" s="243">
        <f t="shared" si="3"/>
        <v>27117</v>
      </c>
      <c r="M55" s="243">
        <f t="shared" si="4"/>
        <v>27117</v>
      </c>
      <c r="N55" s="243">
        <f t="shared" si="5"/>
        <v>27117</v>
      </c>
      <c r="O55" s="243">
        <f t="shared" si="6"/>
        <v>27117</v>
      </c>
      <c r="P55" s="244">
        <f t="shared" si="7"/>
        <v>25221</v>
      </c>
      <c r="Q55" s="141">
        <f t="shared" si="8"/>
        <v>0</v>
      </c>
    </row>
    <row r="56" spans="1:17">
      <c r="A56" s="193">
        <v>2290</v>
      </c>
      <c r="B56" s="194" t="s">
        <v>50</v>
      </c>
      <c r="C56" s="200">
        <f>VLOOKUP(A56,'Contribution Allocation_Report'!$A$9:$D$314,4,FALSE)</f>
        <v>1.2606869585796393E-3</v>
      </c>
      <c r="D56" s="11"/>
      <c r="E56" s="241">
        <f>VLOOKUP(A56,'Contribution Allocation_Rep 23'!$A$9:$D$312,4,FALSE)</f>
        <v>1.293983136435591E-3</v>
      </c>
      <c r="F56" s="123"/>
      <c r="G56" s="134">
        <f t="shared" si="0"/>
        <v>-107372</v>
      </c>
      <c r="H56" s="240">
        <f t="shared" si="2"/>
        <v>-18107</v>
      </c>
      <c r="I56" s="120">
        <f t="shared" si="9"/>
        <v>-89265</v>
      </c>
      <c r="J56" s="120"/>
      <c r="K56" s="117"/>
      <c r="L56" s="243">
        <f t="shared" si="3"/>
        <v>-18107</v>
      </c>
      <c r="M56" s="243">
        <f t="shared" si="4"/>
        <v>-18107</v>
      </c>
      <c r="N56" s="243">
        <f t="shared" si="5"/>
        <v>-18107</v>
      </c>
      <c r="O56" s="243">
        <f t="shared" si="6"/>
        <v>-18107</v>
      </c>
      <c r="P56" s="244">
        <f t="shared" si="7"/>
        <v>-16837</v>
      </c>
      <c r="Q56" s="141">
        <f t="shared" si="8"/>
        <v>0</v>
      </c>
    </row>
    <row r="57" spans="1:17">
      <c r="A57" s="195">
        <v>2310</v>
      </c>
      <c r="B57" s="196" t="s">
        <v>51</v>
      </c>
      <c r="C57" s="201">
        <f>VLOOKUP(A57,'Contribution Allocation_Report'!$A$9:$D$314,4,FALSE)</f>
        <v>9.1252388560206094E-3</v>
      </c>
      <c r="D57" s="11"/>
      <c r="E57" s="241">
        <f>VLOOKUP(A57,'Contribution Allocation_Rep 23'!$A$9:$D$312,4,FALSE)</f>
        <v>8.7033409124447677E-3</v>
      </c>
      <c r="F57" s="123"/>
      <c r="G57" s="134">
        <f t="shared" si="0"/>
        <v>1360523</v>
      </c>
      <c r="H57" s="240">
        <f t="shared" si="2"/>
        <v>229431</v>
      </c>
      <c r="I57" s="120">
        <f t="shared" si="9"/>
        <v>1131092</v>
      </c>
      <c r="J57" s="120"/>
      <c r="K57" s="117"/>
      <c r="L57" s="243">
        <f t="shared" si="3"/>
        <v>229431</v>
      </c>
      <c r="M57" s="243">
        <f t="shared" si="4"/>
        <v>229431</v>
      </c>
      <c r="N57" s="243">
        <f t="shared" si="5"/>
        <v>229431</v>
      </c>
      <c r="O57" s="243">
        <f t="shared" si="6"/>
        <v>229431</v>
      </c>
      <c r="P57" s="244">
        <f t="shared" si="7"/>
        <v>213368</v>
      </c>
      <c r="Q57" s="141">
        <f t="shared" si="8"/>
        <v>0</v>
      </c>
    </row>
    <row r="58" spans="1:17">
      <c r="A58" s="193">
        <v>2330</v>
      </c>
      <c r="B58" s="194" t="s">
        <v>52</v>
      </c>
      <c r="C58" s="200">
        <f>VLOOKUP(A58,'Contribution Allocation_Report'!$A$9:$D$314,4,FALSE)</f>
        <v>2.8841937853037124E-3</v>
      </c>
      <c r="D58" s="11"/>
      <c r="E58" s="241">
        <f>VLOOKUP(A58,'Contribution Allocation_Rep 23'!$A$9:$D$312,4,FALSE)</f>
        <v>2.7686503757458447E-3</v>
      </c>
      <c r="F58" s="123"/>
      <c r="G58" s="134">
        <f t="shared" si="0"/>
        <v>372601</v>
      </c>
      <c r="H58" s="240">
        <f t="shared" si="2"/>
        <v>62833</v>
      </c>
      <c r="I58" s="120">
        <f t="shared" si="9"/>
        <v>309768</v>
      </c>
      <c r="J58" s="120"/>
      <c r="K58" s="117"/>
      <c r="L58" s="243">
        <f t="shared" si="3"/>
        <v>62833</v>
      </c>
      <c r="M58" s="243">
        <f t="shared" si="4"/>
        <v>62833</v>
      </c>
      <c r="N58" s="243">
        <f t="shared" si="5"/>
        <v>62833</v>
      </c>
      <c r="O58" s="243">
        <f t="shared" si="6"/>
        <v>62833</v>
      </c>
      <c r="P58" s="244">
        <f t="shared" si="7"/>
        <v>58436</v>
      </c>
      <c r="Q58" s="141">
        <f t="shared" si="8"/>
        <v>0</v>
      </c>
    </row>
    <row r="59" spans="1:17">
      <c r="A59" s="195">
        <v>2380</v>
      </c>
      <c r="B59" s="196" t="s">
        <v>53</v>
      </c>
      <c r="C59" s="201">
        <f>VLOOKUP(A59,'Contribution Allocation_Report'!$A$9:$D$314,4,FALSE)</f>
        <v>5.6953980340610671E-4</v>
      </c>
      <c r="D59" s="11"/>
      <c r="E59" s="241">
        <f>VLOOKUP(A59,'Contribution Allocation_Rep 23'!$A$9:$D$312,4,FALSE)</f>
        <v>5.2354388679879045E-4</v>
      </c>
      <c r="F59" s="123"/>
      <c r="G59" s="134">
        <f t="shared" si="0"/>
        <v>148326</v>
      </c>
      <c r="H59" s="240">
        <f t="shared" si="2"/>
        <v>25013</v>
      </c>
      <c r="I59" s="120">
        <f t="shared" si="9"/>
        <v>123313</v>
      </c>
      <c r="J59" s="120"/>
      <c r="K59" s="117"/>
      <c r="L59" s="243">
        <f t="shared" si="3"/>
        <v>25013</v>
      </c>
      <c r="M59" s="243">
        <f t="shared" si="4"/>
        <v>25013</v>
      </c>
      <c r="N59" s="243">
        <f t="shared" si="5"/>
        <v>25013</v>
      </c>
      <c r="O59" s="243">
        <f t="shared" si="6"/>
        <v>25013</v>
      </c>
      <c r="P59" s="244">
        <f t="shared" si="7"/>
        <v>23261</v>
      </c>
      <c r="Q59" s="141">
        <f t="shared" si="8"/>
        <v>0</v>
      </c>
    </row>
    <row r="60" spans="1:17">
      <c r="A60" s="193">
        <v>2400</v>
      </c>
      <c r="B60" s="194" t="s">
        <v>54</v>
      </c>
      <c r="C60" s="200">
        <f>VLOOKUP(A60,'Contribution Allocation_Report'!$A$9:$D$314,4,FALSE)</f>
        <v>1.6037896016621953E-2</v>
      </c>
      <c r="D60" s="11"/>
      <c r="E60" s="241">
        <f>VLOOKUP(A60,'Contribution Allocation_Rep 23'!$A$9:$D$312,4,FALSE)</f>
        <v>1.5120926651028273E-2</v>
      </c>
      <c r="F60" s="123"/>
      <c r="G60" s="134">
        <f t="shared" si="0"/>
        <v>2957014</v>
      </c>
      <c r="H60" s="240">
        <f t="shared" si="2"/>
        <v>498653</v>
      </c>
      <c r="I60" s="120">
        <f t="shared" si="9"/>
        <v>2458361</v>
      </c>
      <c r="J60" s="120"/>
      <c r="K60" s="117"/>
      <c r="L60" s="243">
        <f t="shared" si="3"/>
        <v>498653</v>
      </c>
      <c r="M60" s="243">
        <f t="shared" si="4"/>
        <v>498653</v>
      </c>
      <c r="N60" s="243">
        <f t="shared" si="5"/>
        <v>498653</v>
      </c>
      <c r="O60" s="243">
        <f t="shared" si="6"/>
        <v>498653</v>
      </c>
      <c r="P60" s="244">
        <f t="shared" si="7"/>
        <v>463749</v>
      </c>
      <c r="Q60" s="141">
        <f t="shared" si="8"/>
        <v>0</v>
      </c>
    </row>
    <row r="61" spans="1:17">
      <c r="A61" s="195">
        <v>2410</v>
      </c>
      <c r="B61" s="196" t="s">
        <v>55</v>
      </c>
      <c r="C61" s="201">
        <f>VLOOKUP(A61,'Contribution Allocation_Report'!$A$9:$D$314,4,FALSE)</f>
        <v>1.5960101230896768E-3</v>
      </c>
      <c r="D61" s="11"/>
      <c r="E61" s="241">
        <f>VLOOKUP(A61,'Contribution Allocation_Rep 23'!$A$9:$D$312,4,FALSE)</f>
        <v>1.7280318193994295E-3</v>
      </c>
      <c r="F61" s="123"/>
      <c r="G61" s="134">
        <f t="shared" si="0"/>
        <v>-425739</v>
      </c>
      <c r="H61" s="240">
        <f t="shared" si="2"/>
        <v>-71794</v>
      </c>
      <c r="I61" s="120">
        <f t="shared" si="9"/>
        <v>-353945</v>
      </c>
      <c r="J61" s="120"/>
      <c r="K61" s="117"/>
      <c r="L61" s="243">
        <f t="shared" si="3"/>
        <v>-71794</v>
      </c>
      <c r="M61" s="243">
        <f t="shared" si="4"/>
        <v>-71794</v>
      </c>
      <c r="N61" s="243">
        <f t="shared" si="5"/>
        <v>-71794</v>
      </c>
      <c r="O61" s="243">
        <f t="shared" si="6"/>
        <v>-71794</v>
      </c>
      <c r="P61" s="244">
        <f t="shared" si="7"/>
        <v>-66769</v>
      </c>
      <c r="Q61" s="141">
        <f t="shared" si="8"/>
        <v>0</v>
      </c>
    </row>
    <row r="62" spans="1:17">
      <c r="A62" s="193">
        <v>2500</v>
      </c>
      <c r="B62" s="194" t="s">
        <v>56</v>
      </c>
      <c r="C62" s="200">
        <f>VLOOKUP(A62,'Contribution Allocation_Report'!$A$9:$D$314,4,FALSE)</f>
        <v>2.9304953447931566E-4</v>
      </c>
      <c r="D62" s="11"/>
      <c r="E62" s="241">
        <f>VLOOKUP(A62,'Contribution Allocation_Rep 23'!$A$9:$D$312,4,FALSE)</f>
        <v>3.4030178034168308E-4</v>
      </c>
      <c r="F62" s="123"/>
      <c r="G62" s="134">
        <f t="shared" si="0"/>
        <v>-152378</v>
      </c>
      <c r="H62" s="240">
        <f t="shared" si="2"/>
        <v>-25696</v>
      </c>
      <c r="I62" s="120">
        <f t="shared" si="9"/>
        <v>-126682</v>
      </c>
      <c r="J62" s="120"/>
      <c r="K62" s="117"/>
      <c r="L62" s="243">
        <f t="shared" si="3"/>
        <v>-25696</v>
      </c>
      <c r="M62" s="243">
        <f t="shared" si="4"/>
        <v>-25696</v>
      </c>
      <c r="N62" s="243">
        <f t="shared" si="5"/>
        <v>-25696</v>
      </c>
      <c r="O62" s="243">
        <f t="shared" si="6"/>
        <v>-25696</v>
      </c>
      <c r="P62" s="244">
        <f t="shared" si="7"/>
        <v>-23898</v>
      </c>
      <c r="Q62" s="141">
        <f t="shared" si="8"/>
        <v>0</v>
      </c>
    </row>
    <row r="63" spans="1:17">
      <c r="A63" s="195">
        <v>2550</v>
      </c>
      <c r="B63" s="196" t="s">
        <v>57</v>
      </c>
      <c r="C63" s="201">
        <f>VLOOKUP(A63,'Contribution Allocation_Report'!$A$9:$D$314,4,FALSE)</f>
        <v>1.0896138064419407E-3</v>
      </c>
      <c r="D63" s="11"/>
      <c r="E63" s="241">
        <f>VLOOKUP(A63,'Contribution Allocation_Rep 23'!$A$9:$D$312,4,FALSE)</f>
        <v>1.1374560161978723E-3</v>
      </c>
      <c r="F63" s="123"/>
      <c r="G63" s="134">
        <f t="shared" si="0"/>
        <v>-154280</v>
      </c>
      <c r="H63" s="240">
        <f t="shared" si="2"/>
        <v>-26017</v>
      </c>
      <c r="I63" s="120">
        <f t="shared" si="9"/>
        <v>-128263</v>
      </c>
      <c r="J63" s="120"/>
      <c r="K63" s="117"/>
      <c r="L63" s="243">
        <f t="shared" si="3"/>
        <v>-26017</v>
      </c>
      <c r="M63" s="243">
        <f t="shared" si="4"/>
        <v>-26017</v>
      </c>
      <c r="N63" s="243">
        <f t="shared" si="5"/>
        <v>-26017</v>
      </c>
      <c r="O63" s="243">
        <f t="shared" si="6"/>
        <v>-26017</v>
      </c>
      <c r="P63" s="244">
        <f t="shared" si="7"/>
        <v>-24195</v>
      </c>
      <c r="Q63" s="141">
        <f t="shared" si="8"/>
        <v>0</v>
      </c>
    </row>
    <row r="64" spans="1:17">
      <c r="A64" s="193">
        <v>2570</v>
      </c>
      <c r="B64" s="194" t="s">
        <v>58</v>
      </c>
      <c r="C64" s="200">
        <f>VLOOKUP(A64,'Contribution Allocation_Report'!$A$9:$D$314,4,FALSE)</f>
        <v>6.8973384659152485E-4</v>
      </c>
      <c r="D64" s="11"/>
      <c r="E64" s="241">
        <f>VLOOKUP(A64,'Contribution Allocation_Rep 23'!$A$9:$D$312,4,FALSE)</f>
        <v>6.7579311708634556E-4</v>
      </c>
      <c r="F64" s="123"/>
      <c r="G64" s="134">
        <f t="shared" si="0"/>
        <v>44956</v>
      </c>
      <c r="H64" s="240">
        <f t="shared" si="2"/>
        <v>7581</v>
      </c>
      <c r="I64" s="120">
        <f t="shared" si="9"/>
        <v>37375</v>
      </c>
      <c r="J64" s="120"/>
      <c r="K64" s="117"/>
      <c r="L64" s="243">
        <f t="shared" si="3"/>
        <v>7581</v>
      </c>
      <c r="M64" s="243">
        <f t="shared" si="4"/>
        <v>7581</v>
      </c>
      <c r="N64" s="243">
        <f t="shared" si="5"/>
        <v>7581</v>
      </c>
      <c r="O64" s="243">
        <f t="shared" si="6"/>
        <v>7581</v>
      </c>
      <c r="P64" s="244">
        <f t="shared" si="7"/>
        <v>7051</v>
      </c>
      <c r="Q64" s="141">
        <f t="shared" si="8"/>
        <v>0</v>
      </c>
    </row>
    <row r="65" spans="1:17">
      <c r="A65" s="195">
        <v>2620</v>
      </c>
      <c r="B65" s="196" t="s">
        <v>59</v>
      </c>
      <c r="C65" s="201">
        <f>VLOOKUP(A65,'Contribution Allocation_Report'!$A$9:$D$314,4,FALSE)</f>
        <v>7.1971012161591011E-3</v>
      </c>
      <c r="D65" s="11"/>
      <c r="E65" s="241">
        <f>VLOOKUP(A65,'Contribution Allocation_Rep 23'!$A$9:$D$312,4,FALSE)</f>
        <v>6.5101802300354126E-3</v>
      </c>
      <c r="F65" s="123"/>
      <c r="G65" s="134">
        <f t="shared" si="0"/>
        <v>2215161</v>
      </c>
      <c r="H65" s="240">
        <f t="shared" si="2"/>
        <v>373552</v>
      </c>
      <c r="I65" s="120">
        <f t="shared" si="9"/>
        <v>1841609</v>
      </c>
      <c r="J65" s="120"/>
      <c r="K65" s="117"/>
      <c r="L65" s="243">
        <f t="shared" si="3"/>
        <v>373552</v>
      </c>
      <c r="M65" s="243">
        <f t="shared" si="4"/>
        <v>373552</v>
      </c>
      <c r="N65" s="243">
        <f t="shared" si="5"/>
        <v>373552</v>
      </c>
      <c r="O65" s="243">
        <f t="shared" si="6"/>
        <v>373552</v>
      </c>
      <c r="P65" s="244">
        <f t="shared" si="7"/>
        <v>347401</v>
      </c>
      <c r="Q65" s="141">
        <f t="shared" si="8"/>
        <v>0</v>
      </c>
    </row>
    <row r="66" spans="1:17">
      <c r="A66" s="193">
        <v>2630</v>
      </c>
      <c r="B66" s="194" t="s">
        <v>60</v>
      </c>
      <c r="C66" s="200">
        <f>VLOOKUP(A66,'Contribution Allocation_Report'!$A$9:$D$314,4,FALSE)</f>
        <v>5.1643865929433611E-3</v>
      </c>
      <c r="D66" s="11"/>
      <c r="E66" s="241">
        <f>VLOOKUP(A66,'Contribution Allocation_Rep 23'!$A$9:$D$312,4,FALSE)</f>
        <v>5.6911389123321622E-3</v>
      </c>
      <c r="F66" s="123"/>
      <c r="G66" s="134">
        <f t="shared" si="0"/>
        <v>-1698654</v>
      </c>
      <c r="H66" s="240">
        <f t="shared" si="2"/>
        <v>-286451</v>
      </c>
      <c r="I66" s="120">
        <f t="shared" si="9"/>
        <v>-1412203</v>
      </c>
      <c r="J66" s="120"/>
      <c r="K66" s="117"/>
      <c r="L66" s="243">
        <f t="shared" si="3"/>
        <v>-286451</v>
      </c>
      <c r="M66" s="243">
        <f t="shared" si="4"/>
        <v>-286451</v>
      </c>
      <c r="N66" s="243">
        <f t="shared" si="5"/>
        <v>-286451</v>
      </c>
      <c r="O66" s="243">
        <f t="shared" si="6"/>
        <v>-286451</v>
      </c>
      <c r="P66" s="244">
        <f t="shared" si="7"/>
        <v>-266399</v>
      </c>
      <c r="Q66" s="141">
        <f t="shared" si="8"/>
        <v>0</v>
      </c>
    </row>
    <row r="67" spans="1:17">
      <c r="A67" s="195">
        <v>2690</v>
      </c>
      <c r="B67" s="196" t="s">
        <v>61</v>
      </c>
      <c r="C67" s="201">
        <f>VLOOKUP(A67,'Contribution Allocation_Report'!$A$9:$D$314,4,FALSE)</f>
        <v>1.346348376906566E-2</v>
      </c>
      <c r="D67" s="11"/>
      <c r="E67" s="241">
        <f>VLOOKUP(A67,'Contribution Allocation_Rep 23'!$A$9:$D$312,4,FALSE)</f>
        <v>1.3971012371649005E-2</v>
      </c>
      <c r="F67" s="123"/>
      <c r="G67" s="134">
        <f t="shared" si="0"/>
        <v>-1636662</v>
      </c>
      <c r="H67" s="240">
        <f t="shared" si="2"/>
        <v>-275997</v>
      </c>
      <c r="I67" s="120">
        <f t="shared" si="9"/>
        <v>-1360665</v>
      </c>
      <c r="J67" s="120"/>
      <c r="K67" s="117"/>
      <c r="L67" s="243">
        <f t="shared" si="3"/>
        <v>-275997</v>
      </c>
      <c r="M67" s="243">
        <f t="shared" si="4"/>
        <v>-275997</v>
      </c>
      <c r="N67" s="243">
        <f t="shared" si="5"/>
        <v>-275997</v>
      </c>
      <c r="O67" s="243">
        <f t="shared" si="6"/>
        <v>-275997</v>
      </c>
      <c r="P67" s="244">
        <f t="shared" si="7"/>
        <v>-256677</v>
      </c>
      <c r="Q67" s="141">
        <f t="shared" si="8"/>
        <v>0</v>
      </c>
    </row>
    <row r="68" spans="1:17">
      <c r="A68" s="193">
        <v>2710</v>
      </c>
      <c r="B68" s="194" t="s">
        <v>62</v>
      </c>
      <c r="C68" s="200">
        <f>VLOOKUP(A68,'Contribution Allocation_Report'!$A$9:$D$314,4,FALSE)</f>
        <v>1.2756680295489218E-4</v>
      </c>
      <c r="D68" s="11"/>
      <c r="E68" s="241">
        <f>VLOOKUP(A68,'Contribution Allocation_Rep 23'!$A$9:$D$312,4,FALSE)</f>
        <v>1.6159947546434117E-4</v>
      </c>
      <c r="F68" s="123"/>
      <c r="G68" s="134">
        <f t="shared" si="0"/>
        <v>-109747</v>
      </c>
      <c r="H68" s="240">
        <f t="shared" si="2"/>
        <v>-18507</v>
      </c>
      <c r="I68" s="120">
        <f t="shared" si="9"/>
        <v>-91240</v>
      </c>
      <c r="J68" s="120"/>
      <c r="K68" s="117"/>
      <c r="L68" s="243">
        <f t="shared" si="3"/>
        <v>-18507</v>
      </c>
      <c r="M68" s="243">
        <f t="shared" si="4"/>
        <v>-18507</v>
      </c>
      <c r="N68" s="243">
        <f t="shared" si="5"/>
        <v>-18507</v>
      </c>
      <c r="O68" s="243">
        <f t="shared" si="6"/>
        <v>-18507</v>
      </c>
      <c r="P68" s="244">
        <f t="shared" si="7"/>
        <v>-17212</v>
      </c>
      <c r="Q68" s="141">
        <f t="shared" si="8"/>
        <v>0</v>
      </c>
    </row>
    <row r="69" spans="1:17">
      <c r="A69" s="195">
        <v>2730</v>
      </c>
      <c r="B69" s="196" t="s">
        <v>63</v>
      </c>
      <c r="C69" s="201">
        <f>VLOOKUP(A69,'Contribution Allocation_Report'!$A$9:$D$314,4,FALSE)</f>
        <v>1.1023257319656662E-3</v>
      </c>
      <c r="D69" s="11"/>
      <c r="E69" s="241">
        <f>VLOOKUP(A69,'Contribution Allocation_Rep 23'!$A$9:$D$312,4,FALSE)</f>
        <v>1.0137726143122257E-3</v>
      </c>
      <c r="F69" s="123"/>
      <c r="G69" s="134">
        <f t="shared" ref="G69:G132" si="11">ROUND((E69-C69)*$G$318,0)</f>
        <v>285563</v>
      </c>
      <c r="H69" s="240">
        <f t="shared" si="2"/>
        <v>48156</v>
      </c>
      <c r="I69" s="120">
        <f t="shared" si="9"/>
        <v>237407</v>
      </c>
      <c r="J69" s="120"/>
      <c r="K69" s="117"/>
      <c r="L69" s="243">
        <f t="shared" si="3"/>
        <v>48156</v>
      </c>
      <c r="M69" s="243">
        <f t="shared" si="4"/>
        <v>48156</v>
      </c>
      <c r="N69" s="243">
        <f t="shared" si="5"/>
        <v>48156</v>
      </c>
      <c r="O69" s="243">
        <f t="shared" si="6"/>
        <v>48156</v>
      </c>
      <c r="P69" s="244">
        <f t="shared" si="7"/>
        <v>44783</v>
      </c>
      <c r="Q69" s="141">
        <f t="shared" si="8"/>
        <v>0</v>
      </c>
    </row>
    <row r="70" spans="1:17">
      <c r="A70" s="193">
        <v>2950</v>
      </c>
      <c r="B70" s="194" t="s">
        <v>64</v>
      </c>
      <c r="C70" s="200">
        <f>VLOOKUP(A70,'Contribution Allocation_Report'!$A$9:$D$314,4,FALSE)</f>
        <v>8.0855383976665774E-4</v>
      </c>
      <c r="D70" s="11"/>
      <c r="E70" s="241">
        <f>VLOOKUP(A70,'Contribution Allocation_Rep 23'!$A$9:$D$312,4,FALSE)</f>
        <v>7.1685213022026223E-4</v>
      </c>
      <c r="F70" s="123"/>
      <c r="G70" s="134">
        <f t="shared" si="11"/>
        <v>295717</v>
      </c>
      <c r="H70" s="240">
        <f t="shared" ref="H70:H133" si="12">ROUND(G70/5.93,0)</f>
        <v>49868</v>
      </c>
      <c r="I70" s="120">
        <f t="shared" si="9"/>
        <v>245849</v>
      </c>
      <c r="J70" s="120"/>
      <c r="K70" s="117"/>
      <c r="L70" s="243">
        <f t="shared" ref="L70:L133" si="13">+H70</f>
        <v>49868</v>
      </c>
      <c r="M70" s="243">
        <f t="shared" ref="M70:M133" si="14">+L70</f>
        <v>49868</v>
      </c>
      <c r="N70" s="243">
        <f t="shared" ref="N70:N133" si="15">+M70</f>
        <v>49868</v>
      </c>
      <c r="O70" s="243">
        <f t="shared" ref="O70:O133" si="16">+N70</f>
        <v>49868</v>
      </c>
      <c r="P70" s="244">
        <f t="shared" ref="P70:P133" si="17">I70-SUM(L70:O70)</f>
        <v>46377</v>
      </c>
      <c r="Q70" s="141">
        <f t="shared" si="8"/>
        <v>0</v>
      </c>
    </row>
    <row r="71" spans="1:17">
      <c r="A71" s="195">
        <v>2760</v>
      </c>
      <c r="B71" s="196" t="s">
        <v>65</v>
      </c>
      <c r="C71" s="201">
        <f>VLOOKUP(A71,'Contribution Allocation_Report'!$A$9:$D$314,4,FALSE)</f>
        <v>6.7929891822770064E-4</v>
      </c>
      <c r="D71" s="11"/>
      <c r="E71" s="241">
        <f>VLOOKUP(A71,'Contribution Allocation_Rep 23'!$A$9:$D$312,4,FALSE)</f>
        <v>7.2315547010601332E-4</v>
      </c>
      <c r="F71" s="123"/>
      <c r="G71" s="134">
        <f t="shared" si="11"/>
        <v>-141427</v>
      </c>
      <c r="H71" s="240">
        <f t="shared" si="12"/>
        <v>-23849</v>
      </c>
      <c r="I71" s="120">
        <f t="shared" si="9"/>
        <v>-117578</v>
      </c>
      <c r="J71" s="120"/>
      <c r="K71" s="117"/>
      <c r="L71" s="243">
        <f t="shared" si="13"/>
        <v>-23849</v>
      </c>
      <c r="M71" s="243">
        <f t="shared" si="14"/>
        <v>-23849</v>
      </c>
      <c r="N71" s="243">
        <f t="shared" si="15"/>
        <v>-23849</v>
      </c>
      <c r="O71" s="243">
        <f t="shared" si="16"/>
        <v>-23849</v>
      </c>
      <c r="P71" s="244">
        <f t="shared" si="17"/>
        <v>-22182</v>
      </c>
      <c r="Q71" s="141">
        <f t="shared" ref="Q71:Q134" si="18">+I71-SUM(L71:P71)</f>
        <v>0</v>
      </c>
    </row>
    <row r="72" spans="1:17">
      <c r="A72" s="193">
        <v>2780</v>
      </c>
      <c r="B72" s="194" t="s">
        <v>66</v>
      </c>
      <c r="C72" s="200">
        <f>VLOOKUP(A72,'Contribution Allocation_Report'!$A$9:$D$314,4,FALSE)</f>
        <v>5.9029188441858777E-5</v>
      </c>
      <c r="D72" s="11"/>
      <c r="E72" s="241">
        <f>VLOOKUP(A72,'Contribution Allocation_Rep 23'!$A$9:$D$312,4,FALSE)</f>
        <v>5.678244129768098E-5</v>
      </c>
      <c r="F72" s="123"/>
      <c r="G72" s="134">
        <f t="shared" si="11"/>
        <v>7245</v>
      </c>
      <c r="H72" s="240">
        <f t="shared" si="12"/>
        <v>1222</v>
      </c>
      <c r="I72" s="120">
        <f t="shared" ref="I72:I135" si="19">G72-H72</f>
        <v>6023</v>
      </c>
      <c r="J72" s="120"/>
      <c r="K72" s="117"/>
      <c r="L72" s="243">
        <f t="shared" si="13"/>
        <v>1222</v>
      </c>
      <c r="M72" s="243">
        <f t="shared" si="14"/>
        <v>1222</v>
      </c>
      <c r="N72" s="243">
        <f t="shared" si="15"/>
        <v>1222</v>
      </c>
      <c r="O72" s="243">
        <f t="shared" si="16"/>
        <v>1222</v>
      </c>
      <c r="P72" s="244">
        <f t="shared" si="17"/>
        <v>1135</v>
      </c>
      <c r="Q72" s="141">
        <f t="shared" si="18"/>
        <v>0</v>
      </c>
    </row>
    <row r="73" spans="1:17">
      <c r="A73" s="195">
        <v>2810</v>
      </c>
      <c r="B73" s="196" t="s">
        <v>67</v>
      </c>
      <c r="C73" s="201">
        <f>VLOOKUP(A73,'Contribution Allocation_Report'!$A$9:$D$314,4,FALSE)</f>
        <v>5.2638678136880212E-4</v>
      </c>
      <c r="D73" s="11"/>
      <c r="E73" s="241">
        <f>VLOOKUP(A73,'Contribution Allocation_Rep 23'!$A$9:$D$312,4,FALSE)</f>
        <v>5.49970770225617E-4</v>
      </c>
      <c r="F73" s="123"/>
      <c r="G73" s="134">
        <f t="shared" si="11"/>
        <v>-76053</v>
      </c>
      <c r="H73" s="240">
        <f t="shared" si="12"/>
        <v>-12825</v>
      </c>
      <c r="I73" s="120">
        <f t="shared" si="19"/>
        <v>-63228</v>
      </c>
      <c r="J73" s="120"/>
      <c r="K73" s="117"/>
      <c r="L73" s="243">
        <f t="shared" si="13"/>
        <v>-12825</v>
      </c>
      <c r="M73" s="243">
        <f t="shared" si="14"/>
        <v>-12825</v>
      </c>
      <c r="N73" s="243">
        <f t="shared" si="15"/>
        <v>-12825</v>
      </c>
      <c r="O73" s="243">
        <f t="shared" si="16"/>
        <v>-12825</v>
      </c>
      <c r="P73" s="244">
        <f t="shared" si="17"/>
        <v>-11928</v>
      </c>
      <c r="Q73" s="141">
        <f t="shared" si="18"/>
        <v>0</v>
      </c>
    </row>
    <row r="74" spans="1:17">
      <c r="A74" s="193">
        <v>18056</v>
      </c>
      <c r="B74" s="194" t="s">
        <v>68</v>
      </c>
      <c r="C74" s="200">
        <f>VLOOKUP(A74,'Contribution Allocation_Report'!$A$9:$D$314,4,FALSE)</f>
        <v>6.7388123533000416E-4</v>
      </c>
      <c r="D74" s="11"/>
      <c r="E74" s="241">
        <f>VLOOKUP(A74,'Contribution Allocation_Rep 23'!$A$9:$D$312,4,FALSE)</f>
        <v>7.0707409604845979E-4</v>
      </c>
      <c r="F74" s="123"/>
      <c r="G74" s="134">
        <f t="shared" si="11"/>
        <v>-107039</v>
      </c>
      <c r="H74" s="240">
        <f t="shared" si="12"/>
        <v>-18050</v>
      </c>
      <c r="I74" s="120">
        <f t="shared" si="19"/>
        <v>-88989</v>
      </c>
      <c r="J74" s="120"/>
      <c r="K74" s="117"/>
      <c r="L74" s="243">
        <f t="shared" si="13"/>
        <v>-18050</v>
      </c>
      <c r="M74" s="243">
        <f t="shared" si="14"/>
        <v>-18050</v>
      </c>
      <c r="N74" s="243">
        <f t="shared" si="15"/>
        <v>-18050</v>
      </c>
      <c r="O74" s="243">
        <f t="shared" si="16"/>
        <v>-18050</v>
      </c>
      <c r="P74" s="244">
        <f t="shared" si="17"/>
        <v>-16789</v>
      </c>
      <c r="Q74" s="141">
        <f t="shared" si="18"/>
        <v>0</v>
      </c>
    </row>
    <row r="75" spans="1:17">
      <c r="A75" s="195">
        <v>15047</v>
      </c>
      <c r="B75" s="196" t="s">
        <v>69</v>
      </c>
      <c r="C75" s="201">
        <f>VLOOKUP(A75,'Contribution Allocation_Report'!$A$9:$D$314,4,FALSE)</f>
        <v>6.1027449742530901E-4</v>
      </c>
      <c r="D75" s="11"/>
      <c r="E75" s="241">
        <f>VLOOKUP(A75,'Contribution Allocation_Rep 23'!$A$9:$D$312,4,FALSE)</f>
        <v>6.9486028372136026E-4</v>
      </c>
      <c r="F75" s="123"/>
      <c r="G75" s="134">
        <f t="shared" si="11"/>
        <v>-272770</v>
      </c>
      <c r="H75" s="240">
        <f t="shared" si="12"/>
        <v>-45998</v>
      </c>
      <c r="I75" s="120">
        <f t="shared" si="19"/>
        <v>-226772</v>
      </c>
      <c r="J75" s="120"/>
      <c r="K75" s="117"/>
      <c r="L75" s="243">
        <f t="shared" si="13"/>
        <v>-45998</v>
      </c>
      <c r="M75" s="243">
        <f t="shared" si="14"/>
        <v>-45998</v>
      </c>
      <c r="N75" s="243">
        <f t="shared" si="15"/>
        <v>-45998</v>
      </c>
      <c r="O75" s="243">
        <f t="shared" si="16"/>
        <v>-45998</v>
      </c>
      <c r="P75" s="244">
        <f t="shared" si="17"/>
        <v>-42780</v>
      </c>
      <c r="Q75" s="141">
        <f t="shared" si="18"/>
        <v>0</v>
      </c>
    </row>
    <row r="76" spans="1:17">
      <c r="A76" s="193">
        <v>5012</v>
      </c>
      <c r="B76" s="194" t="s">
        <v>70</v>
      </c>
      <c r="C76" s="200">
        <f>VLOOKUP(A76,'Contribution Allocation_Report'!$A$9:$D$314,4,FALSE)</f>
        <v>1.0569184827400593E-2</v>
      </c>
      <c r="D76" s="11"/>
      <c r="E76" s="241">
        <f>VLOOKUP(A76,'Contribution Allocation_Rep 23'!$A$9:$D$312,4,FALSE)</f>
        <v>1.0131038666179756E-2</v>
      </c>
      <c r="F76" s="123"/>
      <c r="G76" s="134">
        <f t="shared" si="11"/>
        <v>1412920</v>
      </c>
      <c r="H76" s="240">
        <f t="shared" si="12"/>
        <v>238266</v>
      </c>
      <c r="I76" s="120">
        <f t="shared" si="19"/>
        <v>1174654</v>
      </c>
      <c r="J76" s="120"/>
      <c r="K76" s="117"/>
      <c r="L76" s="243">
        <f t="shared" si="13"/>
        <v>238266</v>
      </c>
      <c r="M76" s="243">
        <f t="shared" si="14"/>
        <v>238266</v>
      </c>
      <c r="N76" s="243">
        <f t="shared" si="15"/>
        <v>238266</v>
      </c>
      <c r="O76" s="243">
        <f t="shared" si="16"/>
        <v>238266</v>
      </c>
      <c r="P76" s="244">
        <f t="shared" si="17"/>
        <v>221590</v>
      </c>
      <c r="Q76" s="141">
        <f t="shared" si="18"/>
        <v>0</v>
      </c>
    </row>
    <row r="77" spans="1:17">
      <c r="A77" s="195">
        <v>8024</v>
      </c>
      <c r="B77" s="196" t="s">
        <v>71</v>
      </c>
      <c r="C77" s="201">
        <f>VLOOKUP(A77,'Contribution Allocation_Report'!$A$9:$D$314,4,FALSE)</f>
        <v>1.9928514694887759E-3</v>
      </c>
      <c r="D77" s="11"/>
      <c r="E77" s="241">
        <f>VLOOKUP(A77,'Contribution Allocation_Rep 23'!$A$9:$D$312,4,FALSE)</f>
        <v>2.100897945688276E-3</v>
      </c>
      <c r="F77" s="123"/>
      <c r="G77" s="134">
        <f t="shared" si="11"/>
        <v>-348425</v>
      </c>
      <c r="H77" s="240">
        <f t="shared" si="12"/>
        <v>-58756</v>
      </c>
      <c r="I77" s="120">
        <f t="shared" si="19"/>
        <v>-289669</v>
      </c>
      <c r="J77" s="120"/>
      <c r="K77" s="117"/>
      <c r="L77" s="243">
        <f t="shared" si="13"/>
        <v>-58756</v>
      </c>
      <c r="M77" s="243">
        <f t="shared" si="14"/>
        <v>-58756</v>
      </c>
      <c r="N77" s="243">
        <f t="shared" si="15"/>
        <v>-58756</v>
      </c>
      <c r="O77" s="243">
        <f t="shared" si="16"/>
        <v>-58756</v>
      </c>
      <c r="P77" s="244">
        <f t="shared" si="17"/>
        <v>-54645</v>
      </c>
      <c r="Q77" s="141">
        <f t="shared" si="18"/>
        <v>0</v>
      </c>
    </row>
    <row r="78" spans="1:17">
      <c r="A78" s="193">
        <v>3050</v>
      </c>
      <c r="B78" s="194" t="s">
        <v>72</v>
      </c>
      <c r="C78" s="200">
        <f>VLOOKUP(A78,'Contribution Allocation_Report'!$A$9:$D$314,4,FALSE)</f>
        <v>7.4171219555203361E-4</v>
      </c>
      <c r="D78" s="11"/>
      <c r="E78" s="241">
        <f>VLOOKUP(A78,'Contribution Allocation_Rep 23'!$A$9:$D$312,4,FALSE)</f>
        <v>7.484037511996316E-4</v>
      </c>
      <c r="F78" s="123"/>
      <c r="G78" s="134">
        <f t="shared" si="11"/>
        <v>-21579</v>
      </c>
      <c r="H78" s="240">
        <f t="shared" si="12"/>
        <v>-3639</v>
      </c>
      <c r="I78" s="120">
        <f t="shared" si="19"/>
        <v>-17940</v>
      </c>
      <c r="J78" s="120"/>
      <c r="K78" s="117"/>
      <c r="L78" s="243">
        <f t="shared" si="13"/>
        <v>-3639</v>
      </c>
      <c r="M78" s="243">
        <f t="shared" si="14"/>
        <v>-3639</v>
      </c>
      <c r="N78" s="243">
        <f t="shared" si="15"/>
        <v>-3639</v>
      </c>
      <c r="O78" s="243">
        <f t="shared" si="16"/>
        <v>-3639</v>
      </c>
      <c r="P78" s="244">
        <f t="shared" si="17"/>
        <v>-3384</v>
      </c>
      <c r="Q78" s="141">
        <f t="shared" si="18"/>
        <v>0</v>
      </c>
    </row>
    <row r="79" spans="1:17">
      <c r="A79" s="195">
        <v>2421</v>
      </c>
      <c r="B79" s="196" t="s">
        <v>73</v>
      </c>
      <c r="C79" s="201">
        <f>VLOOKUP(A79,'Contribution Allocation_Report'!$A$9:$D$314,4,FALSE)</f>
        <v>2.4392135782585591E-4</v>
      </c>
      <c r="D79" s="11"/>
      <c r="E79" s="241">
        <f>VLOOKUP(A79,'Contribution Allocation_Rep 23'!$A$9:$D$312,4,FALSE)</f>
        <v>2.8369394679707001E-4</v>
      </c>
      <c r="F79" s="123"/>
      <c r="G79" s="134">
        <f t="shared" si="11"/>
        <v>-128257</v>
      </c>
      <c r="H79" s="240">
        <f t="shared" si="12"/>
        <v>-21628</v>
      </c>
      <c r="I79" s="120">
        <f t="shared" si="19"/>
        <v>-106629</v>
      </c>
      <c r="J79" s="120"/>
      <c r="K79" s="117"/>
      <c r="L79" s="243">
        <f t="shared" si="13"/>
        <v>-21628</v>
      </c>
      <c r="M79" s="243">
        <f t="shared" si="14"/>
        <v>-21628</v>
      </c>
      <c r="N79" s="243">
        <f t="shared" si="15"/>
        <v>-21628</v>
      </c>
      <c r="O79" s="243">
        <f t="shared" si="16"/>
        <v>-21628</v>
      </c>
      <c r="P79" s="244">
        <f t="shared" si="17"/>
        <v>-20117</v>
      </c>
      <c r="Q79" s="141">
        <f t="shared" si="18"/>
        <v>0</v>
      </c>
    </row>
    <row r="80" spans="1:17">
      <c r="A80" s="193">
        <v>26079</v>
      </c>
      <c r="B80" s="194" t="s">
        <v>74</v>
      </c>
      <c r="C80" s="200">
        <f>VLOOKUP(A80,'Contribution Allocation_Report'!$A$9:$D$314,4,FALSE)</f>
        <v>2.59200793940229E-4</v>
      </c>
      <c r="D80" s="11"/>
      <c r="E80" s="241">
        <f>VLOOKUP(A80,'Contribution Allocation_Rep 23'!$A$9:$D$312,4,FALSE)</f>
        <v>2.292512493904989E-4</v>
      </c>
      <c r="F80" s="123"/>
      <c r="G80" s="134">
        <f t="shared" si="11"/>
        <v>96580</v>
      </c>
      <c r="H80" s="240">
        <f t="shared" si="12"/>
        <v>16287</v>
      </c>
      <c r="I80" s="120">
        <f t="shared" si="19"/>
        <v>80293</v>
      </c>
      <c r="J80" s="120"/>
      <c r="K80" s="117"/>
      <c r="L80" s="243">
        <f t="shared" si="13"/>
        <v>16287</v>
      </c>
      <c r="M80" s="243">
        <f t="shared" si="14"/>
        <v>16287</v>
      </c>
      <c r="N80" s="243">
        <f t="shared" si="15"/>
        <v>16287</v>
      </c>
      <c r="O80" s="243">
        <f t="shared" si="16"/>
        <v>16287</v>
      </c>
      <c r="P80" s="244">
        <f t="shared" si="17"/>
        <v>15145</v>
      </c>
      <c r="Q80" s="141">
        <f t="shared" si="18"/>
        <v>0</v>
      </c>
    </row>
    <row r="81" spans="1:17">
      <c r="A81" s="195">
        <v>2363</v>
      </c>
      <c r="B81" s="196" t="s">
        <v>75</v>
      </c>
      <c r="C81" s="201">
        <f>VLOOKUP(A81,'Contribution Allocation_Report'!$A$9:$D$314,4,FALSE)</f>
        <v>2.946120256338687E-4</v>
      </c>
      <c r="D81" s="11"/>
      <c r="E81" s="241">
        <f>VLOOKUP(A81,'Contribution Allocation_Rep 23'!$A$9:$D$312,4,FALSE)</f>
        <v>2.9906815945469857E-4</v>
      </c>
      <c r="F81" s="123"/>
      <c r="G81" s="134">
        <f t="shared" si="11"/>
        <v>-14370</v>
      </c>
      <c r="H81" s="240">
        <f t="shared" si="12"/>
        <v>-2423</v>
      </c>
      <c r="I81" s="120">
        <f t="shared" si="19"/>
        <v>-11947</v>
      </c>
      <c r="J81" s="120"/>
      <c r="K81" s="117"/>
      <c r="L81" s="243">
        <f t="shared" si="13"/>
        <v>-2423</v>
      </c>
      <c r="M81" s="243">
        <f t="shared" si="14"/>
        <v>-2423</v>
      </c>
      <c r="N81" s="243">
        <f t="shared" si="15"/>
        <v>-2423</v>
      </c>
      <c r="O81" s="243">
        <f t="shared" si="16"/>
        <v>-2423</v>
      </c>
      <c r="P81" s="244">
        <f t="shared" si="17"/>
        <v>-2255</v>
      </c>
      <c r="Q81" s="141">
        <f t="shared" si="18"/>
        <v>0</v>
      </c>
    </row>
    <row r="82" spans="1:17">
      <c r="A82" s="193">
        <v>2364</v>
      </c>
      <c r="B82" s="194" t="s">
        <v>76</v>
      </c>
      <c r="C82" s="200">
        <f>VLOOKUP(A82,'Contribution Allocation_Report'!$A$9:$D$314,4,FALSE)</f>
        <v>9.5962867546894621E-4</v>
      </c>
      <c r="D82" s="11"/>
      <c r="E82" s="241">
        <f>VLOOKUP(A82,'Contribution Allocation_Rep 23'!$A$9:$D$312,4,FALSE)</f>
        <v>9.3599359070812964E-4</v>
      </c>
      <c r="F82" s="123"/>
      <c r="G82" s="134">
        <f t="shared" si="11"/>
        <v>76218</v>
      </c>
      <c r="H82" s="240">
        <f t="shared" si="12"/>
        <v>12853</v>
      </c>
      <c r="I82" s="120">
        <f t="shared" si="19"/>
        <v>63365</v>
      </c>
      <c r="J82" s="120"/>
      <c r="K82" s="117"/>
      <c r="L82" s="243">
        <f t="shared" si="13"/>
        <v>12853</v>
      </c>
      <c r="M82" s="243">
        <f t="shared" si="14"/>
        <v>12853</v>
      </c>
      <c r="N82" s="243">
        <f t="shared" si="15"/>
        <v>12853</v>
      </c>
      <c r="O82" s="243">
        <f t="shared" si="16"/>
        <v>12853</v>
      </c>
      <c r="P82" s="244">
        <f t="shared" si="17"/>
        <v>11953</v>
      </c>
      <c r="Q82" s="141">
        <f t="shared" si="18"/>
        <v>0</v>
      </c>
    </row>
    <row r="83" spans="1:17">
      <c r="A83" s="195">
        <v>25319</v>
      </c>
      <c r="B83" s="196" t="s">
        <v>77</v>
      </c>
      <c r="C83" s="201">
        <f>VLOOKUP(A83,'Contribution Allocation_Report'!$A$9:$D$314,4,FALSE)</f>
        <v>1.9251618401249472E-4</v>
      </c>
      <c r="D83" s="11"/>
      <c r="E83" s="241">
        <f>VLOOKUP(A83,'Contribution Allocation_Rep 23'!$A$9:$D$312,4,FALSE)</f>
        <v>1.979353488777711E-4</v>
      </c>
      <c r="F83" s="123"/>
      <c r="G83" s="134">
        <f t="shared" si="11"/>
        <v>-17476</v>
      </c>
      <c r="H83" s="240">
        <f t="shared" si="12"/>
        <v>-2947</v>
      </c>
      <c r="I83" s="120">
        <f t="shared" si="19"/>
        <v>-14529</v>
      </c>
      <c r="J83" s="120"/>
      <c r="K83" s="117"/>
      <c r="L83" s="243">
        <f t="shared" si="13"/>
        <v>-2947</v>
      </c>
      <c r="M83" s="243">
        <f t="shared" si="14"/>
        <v>-2947</v>
      </c>
      <c r="N83" s="243">
        <f t="shared" si="15"/>
        <v>-2947</v>
      </c>
      <c r="O83" s="243">
        <f t="shared" si="16"/>
        <v>-2947</v>
      </c>
      <c r="P83" s="244">
        <f t="shared" si="17"/>
        <v>-2741</v>
      </c>
      <c r="Q83" s="141">
        <f t="shared" si="18"/>
        <v>0</v>
      </c>
    </row>
    <row r="84" spans="1:17">
      <c r="A84" s="193">
        <v>29087</v>
      </c>
      <c r="B84" s="194" t="s">
        <v>78</v>
      </c>
      <c r="C84" s="200">
        <f>VLOOKUP(A84,'Contribution Allocation_Report'!$A$9:$D$314,4,FALSE)</f>
        <v>1.9240390449736854E-3</v>
      </c>
      <c r="D84" s="11"/>
      <c r="E84" s="241">
        <f>VLOOKUP(A84,'Contribution Allocation_Rep 23'!$A$9:$D$312,4,FALSE)</f>
        <v>1.7886818224275645E-3</v>
      </c>
      <c r="F84" s="123"/>
      <c r="G84" s="134">
        <f t="shared" si="11"/>
        <v>436496</v>
      </c>
      <c r="H84" s="240">
        <f t="shared" si="12"/>
        <v>73608</v>
      </c>
      <c r="I84" s="120">
        <f t="shared" si="19"/>
        <v>362888</v>
      </c>
      <c r="J84" s="120"/>
      <c r="K84" s="117"/>
      <c r="L84" s="243">
        <f t="shared" si="13"/>
        <v>73608</v>
      </c>
      <c r="M84" s="243">
        <f t="shared" si="14"/>
        <v>73608</v>
      </c>
      <c r="N84" s="243">
        <f t="shared" si="15"/>
        <v>73608</v>
      </c>
      <c r="O84" s="243">
        <f t="shared" si="16"/>
        <v>73608</v>
      </c>
      <c r="P84" s="244">
        <f t="shared" si="17"/>
        <v>68456</v>
      </c>
      <c r="Q84" s="141">
        <f t="shared" si="18"/>
        <v>0</v>
      </c>
    </row>
    <row r="85" spans="1:17">
      <c r="A85" s="195">
        <v>3060</v>
      </c>
      <c r="B85" s="196" t="s">
        <v>79</v>
      </c>
      <c r="C85" s="201">
        <f>VLOOKUP(A85,'Contribution Allocation_Report'!$A$9:$D$314,4,FALSE)</f>
        <v>1.1178799780820964E-3</v>
      </c>
      <c r="D85" s="11"/>
      <c r="E85" s="241">
        <f>VLOOKUP(A85,'Contribution Allocation_Rep 23'!$A$9:$D$312,4,FALSE)</f>
        <v>1.1269882814014518E-3</v>
      </c>
      <c r="F85" s="123"/>
      <c r="G85" s="134">
        <f t="shared" si="11"/>
        <v>-29372</v>
      </c>
      <c r="H85" s="240">
        <f t="shared" si="12"/>
        <v>-4953</v>
      </c>
      <c r="I85" s="120">
        <f t="shared" si="19"/>
        <v>-24419</v>
      </c>
      <c r="J85" s="120"/>
      <c r="K85" s="117"/>
      <c r="L85" s="243">
        <f t="shared" si="13"/>
        <v>-4953</v>
      </c>
      <c r="M85" s="243">
        <f t="shared" si="14"/>
        <v>-4953</v>
      </c>
      <c r="N85" s="243">
        <f t="shared" si="15"/>
        <v>-4953</v>
      </c>
      <c r="O85" s="243">
        <f t="shared" si="16"/>
        <v>-4953</v>
      </c>
      <c r="P85" s="244">
        <f t="shared" si="17"/>
        <v>-4607</v>
      </c>
      <c r="Q85" s="141">
        <f t="shared" si="18"/>
        <v>0</v>
      </c>
    </row>
    <row r="86" spans="1:17">
      <c r="A86" s="193">
        <v>19301</v>
      </c>
      <c r="B86" s="194" t="s">
        <v>80</v>
      </c>
      <c r="C86" s="200">
        <f>VLOOKUP(A86,'Contribution Allocation_Report'!$A$9:$D$314,4,FALSE)</f>
        <v>2.2002859107557972E-4</v>
      </c>
      <c r="D86" s="11"/>
      <c r="E86" s="241">
        <f>VLOOKUP(A86,'Contribution Allocation_Rep 23'!$A$9:$D$312,4,FALSE)</f>
        <v>2.130563802934512E-4</v>
      </c>
      <c r="F86" s="123"/>
      <c r="G86" s="134">
        <f t="shared" si="11"/>
        <v>22484</v>
      </c>
      <c r="H86" s="240">
        <f t="shared" si="12"/>
        <v>3792</v>
      </c>
      <c r="I86" s="120">
        <f t="shared" si="19"/>
        <v>18692</v>
      </c>
      <c r="J86" s="120"/>
      <c r="K86" s="117"/>
      <c r="L86" s="243">
        <f t="shared" si="13"/>
        <v>3792</v>
      </c>
      <c r="M86" s="243">
        <f t="shared" si="14"/>
        <v>3792</v>
      </c>
      <c r="N86" s="243">
        <f t="shared" si="15"/>
        <v>3792</v>
      </c>
      <c r="O86" s="243">
        <f t="shared" si="16"/>
        <v>3792</v>
      </c>
      <c r="P86" s="244">
        <f t="shared" si="17"/>
        <v>3524</v>
      </c>
      <c r="Q86" s="141">
        <f t="shared" si="18"/>
        <v>0</v>
      </c>
    </row>
    <row r="87" spans="1:17">
      <c r="A87" s="195">
        <v>19059</v>
      </c>
      <c r="B87" s="196" t="s">
        <v>81</v>
      </c>
      <c r="C87" s="201">
        <f>VLOOKUP(A87,'Contribution Allocation_Report'!$A$9:$D$314,4,FALSE)</f>
        <v>7.0360625549536577E-3</v>
      </c>
      <c r="D87" s="11"/>
      <c r="E87" s="241">
        <f>VLOOKUP(A87,'Contribution Allocation_Rep 23'!$A$9:$D$312,4,FALSE)</f>
        <v>7.388911208124925E-3</v>
      </c>
      <c r="F87" s="123"/>
      <c r="G87" s="134">
        <f t="shared" si="11"/>
        <v>-1137855</v>
      </c>
      <c r="H87" s="240">
        <f t="shared" si="12"/>
        <v>-191881</v>
      </c>
      <c r="I87" s="120">
        <f t="shared" si="19"/>
        <v>-945974</v>
      </c>
      <c r="J87" s="120"/>
      <c r="K87" s="117"/>
      <c r="L87" s="243">
        <f t="shared" si="13"/>
        <v>-191881</v>
      </c>
      <c r="M87" s="243">
        <f t="shared" si="14"/>
        <v>-191881</v>
      </c>
      <c r="N87" s="243">
        <f t="shared" si="15"/>
        <v>-191881</v>
      </c>
      <c r="O87" s="243">
        <f t="shared" si="16"/>
        <v>-191881</v>
      </c>
      <c r="P87" s="244">
        <f t="shared" si="17"/>
        <v>-178450</v>
      </c>
      <c r="Q87" s="141">
        <f t="shared" si="18"/>
        <v>0</v>
      </c>
    </row>
    <row r="88" spans="1:17">
      <c r="A88" s="193">
        <v>18057</v>
      </c>
      <c r="B88" s="194" t="s">
        <v>82</v>
      </c>
      <c r="C88" s="200">
        <f>VLOOKUP(A88,'Contribution Allocation_Report'!$A$9:$D$314,4,FALSE)</f>
        <v>2.9820811080364409E-4</v>
      </c>
      <c r="D88" s="11"/>
      <c r="E88" s="241">
        <f>VLOOKUP(A88,'Contribution Allocation_Rep 23'!$A$9:$D$312,4,FALSE)</f>
        <v>2.803851298764333E-4</v>
      </c>
      <c r="F88" s="123"/>
      <c r="G88" s="134">
        <f t="shared" si="11"/>
        <v>57475</v>
      </c>
      <c r="H88" s="240">
        <f t="shared" si="12"/>
        <v>9692</v>
      </c>
      <c r="I88" s="120">
        <f t="shared" si="19"/>
        <v>47783</v>
      </c>
      <c r="J88" s="120"/>
      <c r="K88" s="117"/>
      <c r="L88" s="243">
        <f t="shared" si="13"/>
        <v>9692</v>
      </c>
      <c r="M88" s="243">
        <f t="shared" si="14"/>
        <v>9692</v>
      </c>
      <c r="N88" s="243">
        <f t="shared" si="15"/>
        <v>9692</v>
      </c>
      <c r="O88" s="243">
        <f t="shared" si="16"/>
        <v>9692</v>
      </c>
      <c r="P88" s="244">
        <f t="shared" si="17"/>
        <v>9015</v>
      </c>
      <c r="Q88" s="141">
        <f t="shared" si="18"/>
        <v>0</v>
      </c>
    </row>
    <row r="89" spans="1:17">
      <c r="A89" s="195">
        <v>4008</v>
      </c>
      <c r="B89" s="196" t="s">
        <v>83</v>
      </c>
      <c r="C89" s="201">
        <f>VLOOKUP(A89,'Contribution Allocation_Report'!$A$9:$D$314,4,FALSE)</f>
        <v>1.1763752499485301E-3</v>
      </c>
      <c r="D89" s="11"/>
      <c r="E89" s="241">
        <f>VLOOKUP(A89,'Contribution Allocation_Rep 23'!$A$9:$D$312,4,FALSE)</f>
        <v>1.269669006820886E-3</v>
      </c>
      <c r="F89" s="123"/>
      <c r="G89" s="134">
        <f t="shared" si="11"/>
        <v>-300851</v>
      </c>
      <c r="H89" s="240">
        <f t="shared" si="12"/>
        <v>-50734</v>
      </c>
      <c r="I89" s="120">
        <f t="shared" si="19"/>
        <v>-250117</v>
      </c>
      <c r="J89" s="120"/>
      <c r="K89" s="117"/>
      <c r="L89" s="243">
        <f t="shared" si="13"/>
        <v>-50734</v>
      </c>
      <c r="M89" s="243">
        <f t="shared" si="14"/>
        <v>-50734</v>
      </c>
      <c r="N89" s="243">
        <f t="shared" si="15"/>
        <v>-50734</v>
      </c>
      <c r="O89" s="243">
        <f t="shared" si="16"/>
        <v>-50734</v>
      </c>
      <c r="P89" s="244">
        <f t="shared" si="17"/>
        <v>-47181</v>
      </c>
      <c r="Q89" s="141">
        <f t="shared" si="18"/>
        <v>0</v>
      </c>
    </row>
    <row r="90" spans="1:17">
      <c r="A90" s="193">
        <v>2350</v>
      </c>
      <c r="B90" s="194" t="s">
        <v>84</v>
      </c>
      <c r="C90" s="200">
        <f>VLOOKUP(A90,'Contribution Allocation_Report'!$A$9:$D$314,4,FALSE)</f>
        <v>3.87230848041446E-4</v>
      </c>
      <c r="D90" s="11"/>
      <c r="E90" s="241">
        <f>VLOOKUP(A90,'Contribution Allocation_Rep 23'!$A$9:$D$312,4,FALSE)</f>
        <v>4.2036816551096849E-4</v>
      </c>
      <c r="F90" s="123"/>
      <c r="G90" s="134">
        <f t="shared" si="11"/>
        <v>-106860</v>
      </c>
      <c r="H90" s="240">
        <f t="shared" si="12"/>
        <v>-18020</v>
      </c>
      <c r="I90" s="120">
        <f t="shared" si="19"/>
        <v>-88840</v>
      </c>
      <c r="J90" s="120"/>
      <c r="K90" s="117"/>
      <c r="L90" s="243">
        <f t="shared" si="13"/>
        <v>-18020</v>
      </c>
      <c r="M90" s="243">
        <f t="shared" si="14"/>
        <v>-18020</v>
      </c>
      <c r="N90" s="243">
        <f t="shared" si="15"/>
        <v>-18020</v>
      </c>
      <c r="O90" s="243">
        <f t="shared" si="16"/>
        <v>-18020</v>
      </c>
      <c r="P90" s="244">
        <f t="shared" si="17"/>
        <v>-16760</v>
      </c>
      <c r="Q90" s="141">
        <f t="shared" si="18"/>
        <v>0</v>
      </c>
    </row>
    <row r="91" spans="1:17">
      <c r="A91" s="195">
        <v>11117</v>
      </c>
      <c r="B91" s="196" t="s">
        <v>85</v>
      </c>
      <c r="C91" s="201">
        <f>VLOOKUP(A91,'Contribution Allocation_Report'!$A$9:$D$314,4,FALSE)</f>
        <v>3.7044388277293123E-4</v>
      </c>
      <c r="D91" s="11"/>
      <c r="E91" s="241">
        <f>VLOOKUP(A91,'Contribution Allocation_Rep 23'!$A$9:$D$312,4,FALSE)</f>
        <v>3.953119529457249E-4</v>
      </c>
      <c r="F91" s="123"/>
      <c r="G91" s="134">
        <f t="shared" si="11"/>
        <v>-80194</v>
      </c>
      <c r="H91" s="240">
        <f t="shared" si="12"/>
        <v>-13523</v>
      </c>
      <c r="I91" s="120">
        <f t="shared" si="19"/>
        <v>-66671</v>
      </c>
      <c r="J91" s="120"/>
      <c r="K91" s="117"/>
      <c r="L91" s="243">
        <f t="shared" si="13"/>
        <v>-13523</v>
      </c>
      <c r="M91" s="243">
        <f t="shared" si="14"/>
        <v>-13523</v>
      </c>
      <c r="N91" s="243">
        <f t="shared" si="15"/>
        <v>-13523</v>
      </c>
      <c r="O91" s="243">
        <f t="shared" si="16"/>
        <v>-13523</v>
      </c>
      <c r="P91" s="244">
        <f t="shared" si="17"/>
        <v>-12579</v>
      </c>
      <c r="Q91" s="141">
        <f t="shared" si="18"/>
        <v>0</v>
      </c>
    </row>
    <row r="92" spans="1:17">
      <c r="A92" s="193">
        <v>16359</v>
      </c>
      <c r="B92" s="194" t="s">
        <v>86</v>
      </c>
      <c r="C92" s="200">
        <f>VLOOKUP(A92,'Contribution Allocation_Report'!$A$9:$D$314,4,FALSE)</f>
        <v>8.0487923745343744E-5</v>
      </c>
      <c r="D92" s="11"/>
      <c r="E92" s="241">
        <f>VLOOKUP(A92,'Contribution Allocation_Rep 23'!$A$9:$D$312,4,FALSE)</f>
        <v>1.0912984566743731E-4</v>
      </c>
      <c r="F92" s="123"/>
      <c r="G92" s="134">
        <f t="shared" si="11"/>
        <v>-92364</v>
      </c>
      <c r="H92" s="240">
        <f t="shared" si="12"/>
        <v>-15576</v>
      </c>
      <c r="I92" s="120">
        <f t="shared" si="19"/>
        <v>-76788</v>
      </c>
      <c r="J92" s="120"/>
      <c r="K92" s="117"/>
      <c r="L92" s="243">
        <f t="shared" si="13"/>
        <v>-15576</v>
      </c>
      <c r="M92" s="243">
        <f t="shared" si="14"/>
        <v>-15576</v>
      </c>
      <c r="N92" s="243">
        <f t="shared" si="15"/>
        <v>-15576</v>
      </c>
      <c r="O92" s="243">
        <f t="shared" si="16"/>
        <v>-15576</v>
      </c>
      <c r="P92" s="244">
        <f t="shared" si="17"/>
        <v>-14484</v>
      </c>
      <c r="Q92" s="141">
        <f t="shared" si="18"/>
        <v>0</v>
      </c>
    </row>
    <row r="93" spans="1:17">
      <c r="A93" s="195">
        <v>17115</v>
      </c>
      <c r="B93" s="196" t="s">
        <v>87</v>
      </c>
      <c r="C93" s="201">
        <f>VLOOKUP(A93,'Contribution Allocation_Report'!$A$9:$D$314,4,FALSE)</f>
        <v>1.4314538938579031E-3</v>
      </c>
      <c r="D93" s="11"/>
      <c r="E93" s="241">
        <f>VLOOKUP(A93,'Contribution Allocation_Rep 23'!$A$9:$D$312,4,FALSE)</f>
        <v>1.40995760602329E-3</v>
      </c>
      <c r="F93" s="123"/>
      <c r="G93" s="134">
        <f t="shared" si="11"/>
        <v>69321</v>
      </c>
      <c r="H93" s="240">
        <f t="shared" si="12"/>
        <v>11690</v>
      </c>
      <c r="I93" s="120">
        <f t="shared" si="19"/>
        <v>57631</v>
      </c>
      <c r="J93" s="120"/>
      <c r="K93" s="117"/>
      <c r="L93" s="243">
        <f t="shared" si="13"/>
        <v>11690</v>
      </c>
      <c r="M93" s="243">
        <f t="shared" si="14"/>
        <v>11690</v>
      </c>
      <c r="N93" s="243">
        <f t="shared" si="15"/>
        <v>11690</v>
      </c>
      <c r="O93" s="243">
        <f t="shared" si="16"/>
        <v>11690</v>
      </c>
      <c r="P93" s="244">
        <f t="shared" si="17"/>
        <v>10871</v>
      </c>
      <c r="Q93" s="141">
        <f t="shared" si="18"/>
        <v>0</v>
      </c>
    </row>
    <row r="94" spans="1:17">
      <c r="A94" s="193">
        <v>32117</v>
      </c>
      <c r="B94" s="194" t="s">
        <v>88</v>
      </c>
      <c r="C94" s="200">
        <f>VLOOKUP(A94,'Contribution Allocation_Report'!$A$9:$D$314,4,FALSE)</f>
        <v>1.1459577085779846E-4</v>
      </c>
      <c r="D94" s="11"/>
      <c r="E94" s="241">
        <f>VLOOKUP(A94,'Contribution Allocation_Rep 23'!$A$9:$D$312,4,FALSE)</f>
        <v>1.0575991603322684E-4</v>
      </c>
      <c r="F94" s="123"/>
      <c r="G94" s="134">
        <f t="shared" si="11"/>
        <v>28494</v>
      </c>
      <c r="H94" s="240">
        <f t="shared" si="12"/>
        <v>4805</v>
      </c>
      <c r="I94" s="120">
        <f t="shared" si="19"/>
        <v>23689</v>
      </c>
      <c r="J94" s="120"/>
      <c r="K94" s="117"/>
      <c r="L94" s="243">
        <f t="shared" si="13"/>
        <v>4805</v>
      </c>
      <c r="M94" s="243">
        <f t="shared" si="14"/>
        <v>4805</v>
      </c>
      <c r="N94" s="243">
        <f t="shared" si="15"/>
        <v>4805</v>
      </c>
      <c r="O94" s="243">
        <f t="shared" si="16"/>
        <v>4805</v>
      </c>
      <c r="P94" s="244">
        <f t="shared" si="17"/>
        <v>4469</v>
      </c>
      <c r="Q94" s="141">
        <f t="shared" si="18"/>
        <v>0</v>
      </c>
    </row>
    <row r="95" spans="1:17">
      <c r="A95" s="195">
        <v>2304</v>
      </c>
      <c r="B95" s="196" t="s">
        <v>89</v>
      </c>
      <c r="C95" s="201">
        <f>VLOOKUP(A95,'Contribution Allocation_Report'!$A$9:$D$314,4,FALSE)</f>
        <v>5.0711867436742917E-4</v>
      </c>
      <c r="D95" s="11"/>
      <c r="E95" s="241">
        <f>VLOOKUP(A95,'Contribution Allocation_Rep 23'!$A$9:$D$312,4,FALSE)</f>
        <v>4.3264309055164184E-4</v>
      </c>
      <c r="F95" s="123"/>
      <c r="G95" s="134">
        <f t="shared" si="11"/>
        <v>240166</v>
      </c>
      <c r="H95" s="240">
        <f t="shared" si="12"/>
        <v>40500</v>
      </c>
      <c r="I95" s="120">
        <f t="shared" si="19"/>
        <v>199666</v>
      </c>
      <c r="K95" s="117"/>
      <c r="L95" s="243">
        <f t="shared" si="13"/>
        <v>40500</v>
      </c>
      <c r="M95" s="243">
        <f t="shared" si="14"/>
        <v>40500</v>
      </c>
      <c r="N95" s="243">
        <f t="shared" si="15"/>
        <v>40500</v>
      </c>
      <c r="O95" s="243">
        <f t="shared" si="16"/>
        <v>40500</v>
      </c>
      <c r="P95" s="244">
        <f t="shared" si="17"/>
        <v>37666</v>
      </c>
      <c r="Q95" s="141">
        <f t="shared" si="18"/>
        <v>0</v>
      </c>
    </row>
    <row r="96" spans="1:17">
      <c r="A96" s="193">
        <v>11101</v>
      </c>
      <c r="B96" s="194" t="s">
        <v>91</v>
      </c>
      <c r="C96" s="200">
        <f>VLOOKUP(A96,'Contribution Allocation_Report'!$A$9:$D$314,4,FALSE)</f>
        <v>5.854583690681211E-3</v>
      </c>
      <c r="D96" s="11"/>
      <c r="E96" s="241">
        <f>VLOOKUP(A96,'Contribution Allocation_Rep 23'!$A$9:$D$312,4,FALSE)</f>
        <v>5.509773839220535E-3</v>
      </c>
      <c r="F96" s="123"/>
      <c r="G96" s="134">
        <f t="shared" si="11"/>
        <v>1111932</v>
      </c>
      <c r="H96" s="240">
        <f t="shared" si="12"/>
        <v>187510</v>
      </c>
      <c r="I96" s="120">
        <f t="shared" si="19"/>
        <v>924422</v>
      </c>
      <c r="J96" s="120"/>
      <c r="K96" s="117"/>
      <c r="L96" s="243">
        <f t="shared" si="13"/>
        <v>187510</v>
      </c>
      <c r="M96" s="243">
        <f t="shared" si="14"/>
        <v>187510</v>
      </c>
      <c r="N96" s="243">
        <f t="shared" si="15"/>
        <v>187510</v>
      </c>
      <c r="O96" s="243">
        <f t="shared" si="16"/>
        <v>187510</v>
      </c>
      <c r="P96" s="244">
        <f t="shared" si="17"/>
        <v>174382</v>
      </c>
      <c r="Q96" s="141">
        <f t="shared" si="18"/>
        <v>0</v>
      </c>
    </row>
    <row r="97" spans="1:17">
      <c r="A97" s="195">
        <v>11102</v>
      </c>
      <c r="B97" s="196" t="s">
        <v>90</v>
      </c>
      <c r="C97" s="201">
        <f>VLOOKUP(A97,'Contribution Allocation_Report'!$A$9:$D$314,4,FALSE)</f>
        <v>2.0338217149383129E-3</v>
      </c>
      <c r="D97" s="11"/>
      <c r="E97" s="241">
        <f>VLOOKUP(A97,'Contribution Allocation_Rep 23'!$A$9:$D$312,4,FALSE)</f>
        <v>2.0844237041863197E-3</v>
      </c>
      <c r="F97" s="123"/>
      <c r="G97" s="134">
        <f t="shared" si="11"/>
        <v>-163180</v>
      </c>
      <c r="H97" s="240">
        <f t="shared" si="12"/>
        <v>-27518</v>
      </c>
      <c r="I97" s="120">
        <f t="shared" si="19"/>
        <v>-135662</v>
      </c>
      <c r="J97" s="120"/>
      <c r="K97" s="117"/>
      <c r="L97" s="243">
        <f t="shared" si="13"/>
        <v>-27518</v>
      </c>
      <c r="M97" s="243">
        <f t="shared" si="14"/>
        <v>-27518</v>
      </c>
      <c r="N97" s="243">
        <f t="shared" si="15"/>
        <v>-27518</v>
      </c>
      <c r="O97" s="243">
        <f t="shared" si="16"/>
        <v>-27518</v>
      </c>
      <c r="P97" s="244">
        <f t="shared" si="17"/>
        <v>-25590</v>
      </c>
      <c r="Q97" s="141">
        <f t="shared" si="18"/>
        <v>0</v>
      </c>
    </row>
    <row r="98" spans="1:17">
      <c r="A98" s="193">
        <v>3100</v>
      </c>
      <c r="B98" s="194" t="s">
        <v>92</v>
      </c>
      <c r="C98" s="200">
        <f>VLOOKUP(A98,'Contribution Allocation_Report'!$A$9:$D$314,4,FALSE)</f>
        <v>4.1629082800182958E-3</v>
      </c>
      <c r="D98" s="11"/>
      <c r="E98" s="241">
        <f>VLOOKUP(A98,'Contribution Allocation_Rep 23'!$A$9:$D$312,4,FALSE)</f>
        <v>3.9906165444285801E-3</v>
      </c>
      <c r="F98" s="123"/>
      <c r="G98" s="134">
        <f t="shared" si="11"/>
        <v>555601</v>
      </c>
      <c r="H98" s="240">
        <f t="shared" si="12"/>
        <v>93693</v>
      </c>
      <c r="I98" s="120">
        <f t="shared" si="19"/>
        <v>461908</v>
      </c>
      <c r="J98" s="120"/>
      <c r="K98" s="117"/>
      <c r="L98" s="243">
        <f t="shared" si="13"/>
        <v>93693</v>
      </c>
      <c r="M98" s="243">
        <f t="shared" si="14"/>
        <v>93693</v>
      </c>
      <c r="N98" s="243">
        <f t="shared" si="15"/>
        <v>93693</v>
      </c>
      <c r="O98" s="243">
        <f t="shared" si="16"/>
        <v>93693</v>
      </c>
      <c r="P98" s="244">
        <f t="shared" si="17"/>
        <v>87136</v>
      </c>
      <c r="Q98" s="141">
        <f t="shared" si="18"/>
        <v>0</v>
      </c>
    </row>
    <row r="99" spans="1:17">
      <c r="A99" s="195">
        <v>2323</v>
      </c>
      <c r="B99" s="196" t="s">
        <v>93</v>
      </c>
      <c r="C99" s="201">
        <f>VLOOKUP(A99,'Contribution Allocation_Report'!$A$9:$D$314,4,FALSE)</f>
        <v>4.1116287336344463E-4</v>
      </c>
      <c r="D99" s="11"/>
      <c r="E99" s="241">
        <f>VLOOKUP(A99,'Contribution Allocation_Rep 23'!$A$9:$D$312,4,FALSE)</f>
        <v>4.6408121649151718E-4</v>
      </c>
      <c r="F99" s="123"/>
      <c r="G99" s="134">
        <f t="shared" si="11"/>
        <v>-170649</v>
      </c>
      <c r="H99" s="240">
        <f t="shared" si="12"/>
        <v>-28777</v>
      </c>
      <c r="I99" s="120">
        <f t="shared" si="19"/>
        <v>-141872</v>
      </c>
      <c r="J99" s="120"/>
      <c r="K99" s="117"/>
      <c r="L99" s="243">
        <f t="shared" si="13"/>
        <v>-28777</v>
      </c>
      <c r="M99" s="243">
        <f t="shared" si="14"/>
        <v>-28777</v>
      </c>
      <c r="N99" s="243">
        <f t="shared" si="15"/>
        <v>-28777</v>
      </c>
      <c r="O99" s="243">
        <f t="shared" si="16"/>
        <v>-28777</v>
      </c>
      <c r="P99" s="244">
        <f t="shared" si="17"/>
        <v>-26764</v>
      </c>
      <c r="Q99" s="141">
        <f t="shared" si="18"/>
        <v>0</v>
      </c>
    </row>
    <row r="100" spans="1:17">
      <c r="A100" s="193">
        <v>11034</v>
      </c>
      <c r="B100" s="194" t="s">
        <v>94</v>
      </c>
      <c r="C100" s="200">
        <f>VLOOKUP(A100,'Contribution Allocation_Report'!$A$9:$D$314,4,FALSE)</f>
        <v>3.1889737810136928E-4</v>
      </c>
      <c r="D100" s="11"/>
      <c r="E100" s="241">
        <f>VLOOKUP(A100,'Contribution Allocation_Rep 23'!$A$9:$D$312,4,FALSE)</f>
        <v>3.2591410148888816E-4</v>
      </c>
      <c r="F100" s="123"/>
      <c r="G100" s="134">
        <f t="shared" si="11"/>
        <v>-22627</v>
      </c>
      <c r="H100" s="240">
        <f t="shared" si="12"/>
        <v>-3816</v>
      </c>
      <c r="I100" s="120">
        <f t="shared" si="19"/>
        <v>-18811</v>
      </c>
      <c r="J100" s="120"/>
      <c r="K100" s="117"/>
      <c r="L100" s="243">
        <f t="shared" si="13"/>
        <v>-3816</v>
      </c>
      <c r="M100" s="243">
        <f t="shared" si="14"/>
        <v>-3816</v>
      </c>
      <c r="N100" s="243">
        <f t="shared" si="15"/>
        <v>-3816</v>
      </c>
      <c r="O100" s="243">
        <f t="shared" si="16"/>
        <v>-3816</v>
      </c>
      <c r="P100" s="244">
        <f t="shared" si="17"/>
        <v>-3547</v>
      </c>
      <c r="Q100" s="141">
        <f t="shared" si="18"/>
        <v>0</v>
      </c>
    </row>
    <row r="101" spans="1:17">
      <c r="A101" s="195">
        <v>17054</v>
      </c>
      <c r="B101" s="196" t="s">
        <v>95</v>
      </c>
      <c r="C101" s="201">
        <f>VLOOKUP(A101,'Contribution Allocation_Report'!$A$9:$D$314,4,FALSE)</f>
        <v>4.2818460489085957E-3</v>
      </c>
      <c r="D101" s="11"/>
      <c r="E101" s="241">
        <f>VLOOKUP(A101,'Contribution Allocation_Rep 23'!$A$9:$D$312,4,FALSE)</f>
        <v>4.4060607713030343E-3</v>
      </c>
      <c r="F101" s="123"/>
      <c r="G101" s="134">
        <f t="shared" si="11"/>
        <v>-400564</v>
      </c>
      <c r="H101" s="240">
        <f t="shared" si="12"/>
        <v>-67549</v>
      </c>
      <c r="I101" s="120">
        <f t="shared" si="19"/>
        <v>-333015</v>
      </c>
      <c r="J101" s="120"/>
      <c r="K101" s="117"/>
      <c r="L101" s="243">
        <f t="shared" si="13"/>
        <v>-67549</v>
      </c>
      <c r="M101" s="243">
        <f t="shared" si="14"/>
        <v>-67549</v>
      </c>
      <c r="N101" s="243">
        <f t="shared" si="15"/>
        <v>-67549</v>
      </c>
      <c r="O101" s="243">
        <f t="shared" si="16"/>
        <v>-67549</v>
      </c>
      <c r="P101" s="244">
        <f t="shared" si="17"/>
        <v>-62819</v>
      </c>
      <c r="Q101" s="141">
        <f t="shared" si="18"/>
        <v>0</v>
      </c>
    </row>
    <row r="102" spans="1:17">
      <c r="A102" s="193">
        <v>22065</v>
      </c>
      <c r="B102" s="194" t="s">
        <v>96</v>
      </c>
      <c r="C102" s="200">
        <f>VLOOKUP(A102,'Contribution Allocation_Report'!$A$9:$D$314,4,FALSE)</f>
        <v>1.0949058619101253E-3</v>
      </c>
      <c r="D102" s="11"/>
      <c r="E102" s="241">
        <f>VLOOKUP(A102,'Contribution Allocation_Rep 23'!$A$9:$D$312,4,FALSE)</f>
        <v>1.0108304736730315E-3</v>
      </c>
      <c r="F102" s="123"/>
      <c r="G102" s="134">
        <f t="shared" si="11"/>
        <v>271124</v>
      </c>
      <c r="H102" s="240">
        <f t="shared" si="12"/>
        <v>45721</v>
      </c>
      <c r="I102" s="120">
        <f t="shared" si="19"/>
        <v>225403</v>
      </c>
      <c r="J102" s="120"/>
      <c r="K102" s="117"/>
      <c r="L102" s="243">
        <f t="shared" si="13"/>
        <v>45721</v>
      </c>
      <c r="M102" s="243">
        <f t="shared" si="14"/>
        <v>45721</v>
      </c>
      <c r="N102" s="243">
        <f t="shared" si="15"/>
        <v>45721</v>
      </c>
      <c r="O102" s="243">
        <f t="shared" si="16"/>
        <v>45721</v>
      </c>
      <c r="P102" s="244">
        <f t="shared" si="17"/>
        <v>42519</v>
      </c>
      <c r="Q102" s="141">
        <f t="shared" si="18"/>
        <v>0</v>
      </c>
    </row>
    <row r="103" spans="1:17">
      <c r="A103" s="195">
        <v>22201</v>
      </c>
      <c r="B103" s="223" t="s">
        <v>97</v>
      </c>
      <c r="C103" s="224">
        <f>VLOOKUP(A103,'Contribution Allocation_Report'!$A$9:$D$314,4,FALSE)</f>
        <v>6.4292977738403354E-4</v>
      </c>
      <c r="D103" s="11"/>
      <c r="E103" s="241">
        <f>VLOOKUP(A103,'Contribution Allocation_Rep 23'!$A$9:$D$312,4,FALSE)</f>
        <v>5.6815616770763879E-4</v>
      </c>
      <c r="F103" s="123"/>
      <c r="G103" s="134">
        <f t="shared" si="11"/>
        <v>241128</v>
      </c>
      <c r="H103" s="240">
        <f t="shared" si="12"/>
        <v>40662</v>
      </c>
      <c r="I103" s="120">
        <f t="shared" si="19"/>
        <v>200466</v>
      </c>
      <c r="J103" s="120"/>
      <c r="K103" s="117"/>
      <c r="L103" s="243">
        <f t="shared" si="13"/>
        <v>40662</v>
      </c>
      <c r="M103" s="243">
        <f t="shared" si="14"/>
        <v>40662</v>
      </c>
      <c r="N103" s="243">
        <f t="shared" si="15"/>
        <v>40662</v>
      </c>
      <c r="O103" s="243">
        <f t="shared" si="16"/>
        <v>40662</v>
      </c>
      <c r="P103" s="244">
        <f t="shared" si="17"/>
        <v>37818</v>
      </c>
      <c r="Q103" s="141">
        <f t="shared" si="18"/>
        <v>0</v>
      </c>
    </row>
    <row r="104" spans="1:17">
      <c r="A104" s="193">
        <v>6016</v>
      </c>
      <c r="B104" s="194" t="s">
        <v>98</v>
      </c>
      <c r="C104" s="200">
        <f>VLOOKUP(A104,'Contribution Allocation_Report'!$A$9:$D$314,4,FALSE)</f>
        <v>1.0517292847297872E-3</v>
      </c>
      <c r="D104" s="11"/>
      <c r="E104" s="241">
        <f>VLOOKUP(A104,'Contribution Allocation_Rep 23'!$A$9:$D$312,4,FALSE)</f>
        <v>1.0697693207211011E-3</v>
      </c>
      <c r="F104" s="123"/>
      <c r="G104" s="134">
        <f t="shared" si="11"/>
        <v>-58175</v>
      </c>
      <c r="H104" s="240">
        <f t="shared" si="12"/>
        <v>-9810</v>
      </c>
      <c r="I104" s="120">
        <f t="shared" si="19"/>
        <v>-48365</v>
      </c>
      <c r="J104" s="120"/>
      <c r="K104" s="117"/>
      <c r="L104" s="243">
        <f t="shared" si="13"/>
        <v>-9810</v>
      </c>
      <c r="M104" s="243">
        <f t="shared" si="14"/>
        <v>-9810</v>
      </c>
      <c r="N104" s="243">
        <f t="shared" si="15"/>
        <v>-9810</v>
      </c>
      <c r="O104" s="243">
        <f t="shared" si="16"/>
        <v>-9810</v>
      </c>
      <c r="P104" s="244">
        <f t="shared" si="17"/>
        <v>-9125</v>
      </c>
      <c r="Q104" s="141">
        <f t="shared" si="18"/>
        <v>0</v>
      </c>
    </row>
    <row r="105" spans="1:17">
      <c r="A105" s="298">
        <v>7440</v>
      </c>
      <c r="B105" s="299" t="s">
        <v>447</v>
      </c>
      <c r="C105" s="224">
        <f>VLOOKUP(A105,'Contribution Allocation_Report'!$A$9:$D$314,4,FALSE)</f>
        <v>3.7746331539690328E-4</v>
      </c>
      <c r="D105" s="11"/>
      <c r="E105" s="241">
        <f>VLOOKUP(A105,'Contribution Allocation_Rep 23'!$A$9:$D$312,4,FALSE)</f>
        <v>2.3810386247104142E-4</v>
      </c>
      <c r="F105" s="123"/>
      <c r="G105" s="134">
        <f t="shared" si="11"/>
        <v>449402</v>
      </c>
      <c r="H105" s="240">
        <f t="shared" si="12"/>
        <v>75784</v>
      </c>
      <c r="I105" s="120">
        <f t="shared" si="19"/>
        <v>373618</v>
      </c>
      <c r="J105" s="120"/>
      <c r="K105" s="117"/>
      <c r="L105" s="243">
        <f t="shared" si="13"/>
        <v>75784</v>
      </c>
      <c r="M105" s="243">
        <f t="shared" si="14"/>
        <v>75784</v>
      </c>
      <c r="N105" s="243">
        <f t="shared" si="15"/>
        <v>75784</v>
      </c>
      <c r="O105" s="243">
        <f t="shared" si="16"/>
        <v>75784</v>
      </c>
      <c r="P105" s="244">
        <f t="shared" si="17"/>
        <v>70482</v>
      </c>
      <c r="Q105" s="141">
        <f t="shared" si="18"/>
        <v>0</v>
      </c>
    </row>
    <row r="106" spans="1:17">
      <c r="A106" s="193">
        <v>2432</v>
      </c>
      <c r="B106" s="194" t="s">
        <v>99</v>
      </c>
      <c r="C106" s="200">
        <f>VLOOKUP(A106,'Contribution Allocation_Report'!$A$9:$D$314,4,FALSE)</f>
        <v>1.6715200599406155E-3</v>
      </c>
      <c r="D106" s="11"/>
      <c r="E106" s="241">
        <f>VLOOKUP(A106,'Contribution Allocation_Rep 23'!$A$9:$D$312,4,FALSE)</f>
        <v>1.6857330912187307E-3</v>
      </c>
      <c r="F106" s="123"/>
      <c r="G106" s="134">
        <f t="shared" si="11"/>
        <v>-45834</v>
      </c>
      <c r="H106" s="240">
        <f t="shared" si="12"/>
        <v>-7729</v>
      </c>
      <c r="I106" s="120">
        <f t="shared" si="19"/>
        <v>-38105</v>
      </c>
      <c r="J106" s="120"/>
      <c r="K106" s="117"/>
      <c r="L106" s="243">
        <f t="shared" si="13"/>
        <v>-7729</v>
      </c>
      <c r="M106" s="243">
        <f t="shared" si="14"/>
        <v>-7729</v>
      </c>
      <c r="N106" s="243">
        <f t="shared" si="15"/>
        <v>-7729</v>
      </c>
      <c r="O106" s="243">
        <f t="shared" si="16"/>
        <v>-7729</v>
      </c>
      <c r="P106" s="244">
        <f t="shared" si="17"/>
        <v>-7189</v>
      </c>
      <c r="Q106" s="141">
        <f t="shared" si="18"/>
        <v>0</v>
      </c>
    </row>
    <row r="107" spans="1:17">
      <c r="A107" s="195">
        <v>29125</v>
      </c>
      <c r="B107" s="196" t="s">
        <v>483</v>
      </c>
      <c r="C107" s="201">
        <f>VLOOKUP(A107,'Contribution Allocation_Report'!$A$9:$D$314,4,FALSE)</f>
        <v>2.5847058450619167E-4</v>
      </c>
      <c r="D107" s="11"/>
      <c r="E107" s="241">
        <v>0</v>
      </c>
      <c r="F107" s="123"/>
      <c r="G107" s="134">
        <f t="shared" si="11"/>
        <v>833508</v>
      </c>
      <c r="H107" s="240">
        <f t="shared" si="12"/>
        <v>140558</v>
      </c>
      <c r="I107" s="120">
        <f t="shared" si="19"/>
        <v>692950</v>
      </c>
      <c r="J107" s="120"/>
      <c r="K107" s="117"/>
      <c r="L107" s="243">
        <f t="shared" si="13"/>
        <v>140558</v>
      </c>
      <c r="M107" s="243">
        <f t="shared" si="14"/>
        <v>140558</v>
      </c>
      <c r="N107" s="243">
        <f t="shared" si="15"/>
        <v>140558</v>
      </c>
      <c r="O107" s="243">
        <f t="shared" si="16"/>
        <v>140558</v>
      </c>
      <c r="P107" s="244">
        <f t="shared" si="17"/>
        <v>130718</v>
      </c>
      <c r="Q107" s="141">
        <f t="shared" si="18"/>
        <v>0</v>
      </c>
    </row>
    <row r="108" spans="1:17">
      <c r="A108" s="193">
        <v>16052</v>
      </c>
      <c r="B108" s="194" t="s">
        <v>100</v>
      </c>
      <c r="C108" s="200">
        <f>VLOOKUP(A108,'Contribution Allocation_Report'!$A$9:$D$314,4,FALSE)</f>
        <v>1.3187448899570849E-2</v>
      </c>
      <c r="D108" s="11"/>
      <c r="E108" s="241">
        <f>VLOOKUP(A108,'Contribution Allocation_Rep 23'!$A$9:$D$312,4,FALSE)</f>
        <v>1.3799154690691925E-2</v>
      </c>
      <c r="F108" s="123"/>
      <c r="G108" s="134">
        <f t="shared" si="11"/>
        <v>-1972609</v>
      </c>
      <c r="H108" s="240">
        <f t="shared" si="12"/>
        <v>-332649</v>
      </c>
      <c r="I108" s="120">
        <f t="shared" si="19"/>
        <v>-1639960</v>
      </c>
      <c r="J108" s="120"/>
      <c r="K108" s="117"/>
      <c r="L108" s="243">
        <f t="shared" si="13"/>
        <v>-332649</v>
      </c>
      <c r="M108" s="243">
        <f t="shared" si="14"/>
        <v>-332649</v>
      </c>
      <c r="N108" s="243">
        <f t="shared" si="15"/>
        <v>-332649</v>
      </c>
      <c r="O108" s="243">
        <f t="shared" si="16"/>
        <v>-332649</v>
      </c>
      <c r="P108" s="244">
        <f t="shared" si="17"/>
        <v>-309364</v>
      </c>
      <c r="Q108" s="141">
        <f t="shared" si="18"/>
        <v>0</v>
      </c>
    </row>
    <row r="109" spans="1:17">
      <c r="A109" s="195">
        <v>11118</v>
      </c>
      <c r="B109" s="196" t="s">
        <v>101</v>
      </c>
      <c r="C109" s="201">
        <f>VLOOKUP(A109,'Contribution Allocation_Report'!$A$9:$D$314,4,FALSE)</f>
        <v>3.5887045582915633E-4</v>
      </c>
      <c r="D109" s="11"/>
      <c r="E109" s="241">
        <f>VLOOKUP(A109,'Contribution Allocation_Rep 23'!$A$9:$D$312,4,FALSE)</f>
        <v>3.634809595614468E-4</v>
      </c>
      <c r="F109" s="123"/>
      <c r="G109" s="134">
        <f t="shared" si="11"/>
        <v>-14868</v>
      </c>
      <c r="H109" s="240">
        <f t="shared" si="12"/>
        <v>-2507</v>
      </c>
      <c r="I109" s="120">
        <f t="shared" si="19"/>
        <v>-12361</v>
      </c>
      <c r="J109" s="120"/>
      <c r="K109" s="117"/>
      <c r="L109" s="243">
        <f t="shared" si="13"/>
        <v>-2507</v>
      </c>
      <c r="M109" s="243">
        <f t="shared" si="14"/>
        <v>-2507</v>
      </c>
      <c r="N109" s="243">
        <f t="shared" si="15"/>
        <v>-2507</v>
      </c>
      <c r="O109" s="243">
        <f t="shared" si="16"/>
        <v>-2507</v>
      </c>
      <c r="P109" s="244">
        <f t="shared" si="17"/>
        <v>-2333</v>
      </c>
      <c r="Q109" s="141">
        <f t="shared" si="18"/>
        <v>0</v>
      </c>
    </row>
    <row r="110" spans="1:17">
      <c r="A110" s="193">
        <v>27083</v>
      </c>
      <c r="B110" s="194" t="s">
        <v>102</v>
      </c>
      <c r="C110" s="200">
        <f>VLOOKUP(A110,'Contribution Allocation_Report'!$A$9:$D$314,4,FALSE)</f>
        <v>4.796376741617221E-4</v>
      </c>
      <c r="D110" s="11"/>
      <c r="E110" s="241">
        <f>VLOOKUP(A110,'Contribution Allocation_Rep 23'!$A$9:$D$312,4,FALSE)</f>
        <v>5.3778314906147769E-4</v>
      </c>
      <c r="F110" s="123"/>
      <c r="G110" s="134">
        <f t="shared" si="11"/>
        <v>-187506</v>
      </c>
      <c r="H110" s="240">
        <f t="shared" si="12"/>
        <v>-31620</v>
      </c>
      <c r="I110" s="120">
        <f t="shared" si="19"/>
        <v>-155886</v>
      </c>
      <c r="J110" s="120"/>
      <c r="K110" s="117"/>
      <c r="L110" s="243">
        <f t="shared" si="13"/>
        <v>-31620</v>
      </c>
      <c r="M110" s="243">
        <f t="shared" si="14"/>
        <v>-31620</v>
      </c>
      <c r="N110" s="243">
        <f t="shared" si="15"/>
        <v>-31620</v>
      </c>
      <c r="O110" s="243">
        <f t="shared" si="16"/>
        <v>-31620</v>
      </c>
      <c r="P110" s="244">
        <f t="shared" si="17"/>
        <v>-29406</v>
      </c>
      <c r="Q110" s="141">
        <f t="shared" si="18"/>
        <v>0</v>
      </c>
    </row>
    <row r="111" spans="1:17">
      <c r="A111" s="195">
        <v>7021</v>
      </c>
      <c r="B111" s="196" t="s">
        <v>103</v>
      </c>
      <c r="C111" s="201">
        <f>VLOOKUP(A111,'Contribution Allocation_Report'!$A$9:$D$314,4,FALSE)</f>
        <v>1.7423825670710515E-2</v>
      </c>
      <c r="D111" s="11"/>
      <c r="E111" s="241">
        <f>VLOOKUP(A111,'Contribution Allocation_Rep 23'!$A$9:$D$312,4,FALSE)</f>
        <v>1.7829494498943454E-2</v>
      </c>
      <c r="F111" s="123"/>
      <c r="G111" s="134">
        <f t="shared" si="11"/>
        <v>-1308188</v>
      </c>
      <c r="H111" s="240">
        <f t="shared" si="12"/>
        <v>-220605</v>
      </c>
      <c r="I111" s="120">
        <f t="shared" si="19"/>
        <v>-1087583</v>
      </c>
      <c r="J111" s="120"/>
      <c r="K111" s="117"/>
      <c r="L111" s="243">
        <f t="shared" si="13"/>
        <v>-220605</v>
      </c>
      <c r="M111" s="243">
        <f t="shared" si="14"/>
        <v>-220605</v>
      </c>
      <c r="N111" s="243">
        <f t="shared" si="15"/>
        <v>-220605</v>
      </c>
      <c r="O111" s="243">
        <f t="shared" si="16"/>
        <v>-220605</v>
      </c>
      <c r="P111" s="244">
        <f t="shared" si="17"/>
        <v>-205163</v>
      </c>
      <c r="Q111" s="141">
        <f t="shared" si="18"/>
        <v>0</v>
      </c>
    </row>
    <row r="112" spans="1:17">
      <c r="A112" s="193">
        <v>4140</v>
      </c>
      <c r="B112" s="194" t="s">
        <v>104</v>
      </c>
      <c r="C112" s="200">
        <f>VLOOKUP(A112,'Contribution Allocation_Report'!$A$9:$D$314,4,FALSE)</f>
        <v>1.1820755945626281E-4</v>
      </c>
      <c r="D112" s="11"/>
      <c r="E112" s="241">
        <f>VLOOKUP(A112,'Contribution Allocation_Rep 23'!$A$9:$D$312,4,FALSE)</f>
        <v>1.2713190500873776E-4</v>
      </c>
      <c r="F112" s="123"/>
      <c r="G112" s="134">
        <f t="shared" si="11"/>
        <v>-28779</v>
      </c>
      <c r="H112" s="240">
        <f t="shared" si="12"/>
        <v>-4853</v>
      </c>
      <c r="I112" s="120">
        <f t="shared" si="19"/>
        <v>-23926</v>
      </c>
      <c r="J112" s="120"/>
      <c r="K112" s="117"/>
      <c r="L112" s="243">
        <f t="shared" si="13"/>
        <v>-4853</v>
      </c>
      <c r="M112" s="243">
        <f t="shared" si="14"/>
        <v>-4853</v>
      </c>
      <c r="N112" s="243">
        <f t="shared" si="15"/>
        <v>-4853</v>
      </c>
      <c r="O112" s="243">
        <f t="shared" si="16"/>
        <v>-4853</v>
      </c>
      <c r="P112" s="244">
        <f t="shared" si="17"/>
        <v>-4514</v>
      </c>
      <c r="Q112" s="141">
        <f t="shared" si="18"/>
        <v>0</v>
      </c>
    </row>
    <row r="113" spans="1:17">
      <c r="A113" s="195">
        <v>13041</v>
      </c>
      <c r="B113" s="196" t="s">
        <v>105</v>
      </c>
      <c r="C113" s="201">
        <f>VLOOKUP(A113,'Contribution Allocation_Report'!$A$9:$D$314,4,FALSE)</f>
        <v>1.6046069651254564E-2</v>
      </c>
      <c r="D113" s="11"/>
      <c r="E113" s="241">
        <f>VLOOKUP(A113,'Contribution Allocation_Rep 23'!$A$9:$D$312,4,FALSE)</f>
        <v>1.6293810580323621E-2</v>
      </c>
      <c r="F113" s="123"/>
      <c r="G113" s="134">
        <f t="shared" si="11"/>
        <v>-798907</v>
      </c>
      <c r="H113" s="240">
        <f t="shared" si="12"/>
        <v>-134723</v>
      </c>
      <c r="I113" s="120">
        <f t="shared" si="19"/>
        <v>-664184</v>
      </c>
      <c r="J113" s="120"/>
      <c r="K113" s="117"/>
      <c r="L113" s="243">
        <f t="shared" si="13"/>
        <v>-134723</v>
      </c>
      <c r="M113" s="243">
        <f t="shared" si="14"/>
        <v>-134723</v>
      </c>
      <c r="N113" s="243">
        <f t="shared" si="15"/>
        <v>-134723</v>
      </c>
      <c r="O113" s="243">
        <f t="shared" si="16"/>
        <v>-134723</v>
      </c>
      <c r="P113" s="244">
        <f t="shared" si="17"/>
        <v>-125292</v>
      </c>
      <c r="Q113" s="141">
        <f t="shared" si="18"/>
        <v>0</v>
      </c>
    </row>
    <row r="114" spans="1:17">
      <c r="A114" s="193">
        <v>2339</v>
      </c>
      <c r="B114" s="194" t="s">
        <v>106</v>
      </c>
      <c r="C114" s="200">
        <f>VLOOKUP(A114,'Contribution Allocation_Report'!$A$9:$D$314,4,FALSE)</f>
        <v>2.3579483347931109E-4</v>
      </c>
      <c r="D114" s="11"/>
      <c r="E114" s="241">
        <f>VLOOKUP(A114,'Contribution Allocation_Rep 23'!$A$9:$D$312,4,FALSE)</f>
        <v>2.5594877483458076E-4</v>
      </c>
      <c r="F114" s="123"/>
      <c r="G114" s="134">
        <f t="shared" si="11"/>
        <v>-64992</v>
      </c>
      <c r="H114" s="240">
        <f t="shared" si="12"/>
        <v>-10960</v>
      </c>
      <c r="I114" s="120">
        <f t="shared" si="19"/>
        <v>-54032</v>
      </c>
      <c r="J114" s="120"/>
      <c r="K114" s="117"/>
      <c r="L114" s="243">
        <f t="shared" si="13"/>
        <v>-10960</v>
      </c>
      <c r="M114" s="243">
        <f t="shared" si="14"/>
        <v>-10960</v>
      </c>
      <c r="N114" s="243">
        <f t="shared" si="15"/>
        <v>-10960</v>
      </c>
      <c r="O114" s="243">
        <f t="shared" si="16"/>
        <v>-10960</v>
      </c>
      <c r="P114" s="244">
        <f t="shared" si="17"/>
        <v>-10192</v>
      </c>
      <c r="Q114" s="141">
        <f t="shared" si="18"/>
        <v>0</v>
      </c>
    </row>
    <row r="115" spans="1:17">
      <c r="A115" s="195">
        <v>2362</v>
      </c>
      <c r="B115" s="196" t="s">
        <v>107</v>
      </c>
      <c r="C115" s="201">
        <f>VLOOKUP(A115,'Contribution Allocation_Report'!$A$9:$D$314,4,FALSE)</f>
        <v>2.6271836196655954E-4</v>
      </c>
      <c r="D115" s="11"/>
      <c r="E115" s="241">
        <f>VLOOKUP(A115,'Contribution Allocation_Rep 23'!$A$9:$D$312,4,FALSE)</f>
        <v>2.5470905978779867E-4</v>
      </c>
      <c r="F115" s="123"/>
      <c r="G115" s="134">
        <f t="shared" si="11"/>
        <v>25828</v>
      </c>
      <c r="H115" s="240">
        <f t="shared" si="12"/>
        <v>4355</v>
      </c>
      <c r="I115" s="120">
        <f t="shared" si="19"/>
        <v>21473</v>
      </c>
      <c r="J115" s="120"/>
      <c r="K115" s="117"/>
      <c r="L115" s="243">
        <f t="shared" si="13"/>
        <v>4355</v>
      </c>
      <c r="M115" s="243">
        <f t="shared" si="14"/>
        <v>4355</v>
      </c>
      <c r="N115" s="243">
        <f t="shared" si="15"/>
        <v>4355</v>
      </c>
      <c r="O115" s="243">
        <f t="shared" si="16"/>
        <v>4355</v>
      </c>
      <c r="P115" s="244">
        <f t="shared" si="17"/>
        <v>4053</v>
      </c>
      <c r="Q115" s="141">
        <f t="shared" si="18"/>
        <v>0</v>
      </c>
    </row>
    <row r="116" spans="1:17">
      <c r="A116" s="193">
        <v>5013</v>
      </c>
      <c r="B116" s="194" t="s">
        <v>108</v>
      </c>
      <c r="C116" s="200">
        <f>VLOOKUP(A116,'Contribution Allocation_Report'!$A$9:$D$314,4,FALSE)</f>
        <v>2.831642261196056E-4</v>
      </c>
      <c r="D116" s="11"/>
      <c r="E116" s="241">
        <f>VLOOKUP(A116,'Contribution Allocation_Rep 23'!$A$9:$D$312,4,FALSE)</f>
        <v>3.0070947233353684E-4</v>
      </c>
      <c r="F116" s="123"/>
      <c r="G116" s="134">
        <f t="shared" si="11"/>
        <v>-56579</v>
      </c>
      <c r="H116" s="240">
        <f t="shared" si="12"/>
        <v>-9541</v>
      </c>
      <c r="I116" s="120">
        <f t="shared" si="19"/>
        <v>-47038</v>
      </c>
      <c r="J116" s="120"/>
      <c r="K116" s="117"/>
      <c r="L116" s="243">
        <f t="shared" si="13"/>
        <v>-9541</v>
      </c>
      <c r="M116" s="243">
        <f t="shared" si="14"/>
        <v>-9541</v>
      </c>
      <c r="N116" s="243">
        <f t="shared" si="15"/>
        <v>-9541</v>
      </c>
      <c r="O116" s="243">
        <f t="shared" si="16"/>
        <v>-9541</v>
      </c>
      <c r="P116" s="244">
        <f t="shared" si="17"/>
        <v>-8874</v>
      </c>
      <c r="Q116" s="141">
        <f t="shared" si="18"/>
        <v>0</v>
      </c>
    </row>
    <row r="117" spans="1:17">
      <c r="A117" s="195">
        <v>3110</v>
      </c>
      <c r="B117" s="196" t="s">
        <v>109</v>
      </c>
      <c r="C117" s="201">
        <f>VLOOKUP(A117,'Contribution Allocation_Report'!$A$9:$D$314,4,FALSE)</f>
        <v>1.2493961933522659E-3</v>
      </c>
      <c r="D117" s="11"/>
      <c r="E117" s="241">
        <f>VLOOKUP(A117,'Contribution Allocation_Rep 23'!$A$9:$D$312,4,FALSE)</f>
        <v>1.2235812903986139E-3</v>
      </c>
      <c r="F117" s="123"/>
      <c r="G117" s="134">
        <f t="shared" si="11"/>
        <v>83247</v>
      </c>
      <c r="H117" s="240">
        <f t="shared" si="12"/>
        <v>14038</v>
      </c>
      <c r="I117" s="120">
        <f t="shared" si="19"/>
        <v>69209</v>
      </c>
      <c r="J117" s="120"/>
      <c r="K117" s="117"/>
      <c r="L117" s="243">
        <f t="shared" si="13"/>
        <v>14038</v>
      </c>
      <c r="M117" s="243">
        <f t="shared" si="14"/>
        <v>14038</v>
      </c>
      <c r="N117" s="243">
        <f t="shared" si="15"/>
        <v>14038</v>
      </c>
      <c r="O117" s="243">
        <f t="shared" si="16"/>
        <v>14038</v>
      </c>
      <c r="P117" s="244">
        <f t="shared" si="17"/>
        <v>13057</v>
      </c>
      <c r="Q117" s="141">
        <f t="shared" si="18"/>
        <v>0</v>
      </c>
    </row>
    <row r="118" spans="1:17">
      <c r="A118" s="193">
        <v>14044</v>
      </c>
      <c r="B118" s="194" t="s">
        <v>110</v>
      </c>
      <c r="C118" s="200">
        <f>VLOOKUP(A118,'Contribution Allocation_Report'!$A$9:$D$314,4,FALSE)</f>
        <v>4.8626530623990423E-3</v>
      </c>
      <c r="D118" s="11"/>
      <c r="E118" s="241">
        <f>VLOOKUP(A118,'Contribution Allocation_Rep 23'!$A$9:$D$312,4,FALSE)</f>
        <v>4.8228494778761108E-3</v>
      </c>
      <c r="F118" s="123"/>
      <c r="G118" s="134">
        <f t="shared" si="11"/>
        <v>128357</v>
      </c>
      <c r="H118" s="240">
        <f t="shared" si="12"/>
        <v>21645</v>
      </c>
      <c r="I118" s="120">
        <f t="shared" si="19"/>
        <v>106712</v>
      </c>
      <c r="J118" s="120"/>
      <c r="K118" s="117"/>
      <c r="L118" s="243">
        <f t="shared" si="13"/>
        <v>21645</v>
      </c>
      <c r="M118" s="243">
        <f t="shared" si="14"/>
        <v>21645</v>
      </c>
      <c r="N118" s="243">
        <f t="shared" si="15"/>
        <v>21645</v>
      </c>
      <c r="O118" s="243">
        <f t="shared" si="16"/>
        <v>21645</v>
      </c>
      <c r="P118" s="244">
        <f t="shared" si="17"/>
        <v>20132</v>
      </c>
      <c r="Q118" s="141">
        <f t="shared" si="18"/>
        <v>0</v>
      </c>
    </row>
    <row r="119" spans="1:17">
      <c r="A119" s="195">
        <v>4009</v>
      </c>
      <c r="B119" s="196" t="s">
        <v>111</v>
      </c>
      <c r="C119" s="201">
        <f>VLOOKUP(A119,'Contribution Allocation_Report'!$A$9:$D$314,4,FALSE)</f>
        <v>6.4126521394300212E-4</v>
      </c>
      <c r="D119" s="11"/>
      <c r="E119" s="241">
        <f>VLOOKUP(A119,'Contribution Allocation_Rep 23'!$A$9:$D$312,4,FALSE)</f>
        <v>5.6470766458454778E-4</v>
      </c>
      <c r="F119" s="123"/>
      <c r="G119" s="134">
        <f t="shared" si="11"/>
        <v>246880</v>
      </c>
      <c r="H119" s="240">
        <f t="shared" si="12"/>
        <v>41632</v>
      </c>
      <c r="I119" s="120">
        <f t="shared" si="19"/>
        <v>205248</v>
      </c>
      <c r="J119" s="120"/>
      <c r="K119" s="117"/>
      <c r="L119" s="243">
        <f t="shared" si="13"/>
        <v>41632</v>
      </c>
      <c r="M119" s="243">
        <f t="shared" si="14"/>
        <v>41632</v>
      </c>
      <c r="N119" s="243">
        <f t="shared" si="15"/>
        <v>41632</v>
      </c>
      <c r="O119" s="243">
        <f t="shared" si="16"/>
        <v>41632</v>
      </c>
      <c r="P119" s="244">
        <f t="shared" si="17"/>
        <v>38720</v>
      </c>
      <c r="Q119" s="141">
        <f t="shared" si="18"/>
        <v>0</v>
      </c>
    </row>
    <row r="120" spans="1:17">
      <c r="A120" s="193">
        <v>7022</v>
      </c>
      <c r="B120" s="194" t="s">
        <v>112</v>
      </c>
      <c r="C120" s="200">
        <f>VLOOKUP(A120,'Contribution Allocation_Report'!$A$9:$D$314,4,FALSE)</f>
        <v>1.8138166790057665E-3</v>
      </c>
      <c r="D120" s="11"/>
      <c r="E120" s="241">
        <f>VLOOKUP(A120,'Contribution Allocation_Rep 23'!$A$9:$D$312,4,FALSE)</f>
        <v>1.936941265557518E-3</v>
      </c>
      <c r="F120" s="123"/>
      <c r="G120" s="134">
        <f t="shared" si="11"/>
        <v>-397048</v>
      </c>
      <c r="H120" s="240">
        <f t="shared" si="12"/>
        <v>-66956</v>
      </c>
      <c r="I120" s="120">
        <f t="shared" si="19"/>
        <v>-330092</v>
      </c>
      <c r="J120" s="120"/>
      <c r="K120" s="117"/>
      <c r="L120" s="243">
        <f t="shared" si="13"/>
        <v>-66956</v>
      </c>
      <c r="M120" s="243">
        <f t="shared" si="14"/>
        <v>-66956</v>
      </c>
      <c r="N120" s="243">
        <f t="shared" si="15"/>
        <v>-66956</v>
      </c>
      <c r="O120" s="243">
        <f t="shared" si="16"/>
        <v>-66956</v>
      </c>
      <c r="P120" s="244">
        <f t="shared" si="17"/>
        <v>-62268</v>
      </c>
      <c r="Q120" s="141">
        <f t="shared" si="18"/>
        <v>0</v>
      </c>
    </row>
    <row r="121" spans="1:17">
      <c r="A121" s="195">
        <v>2430</v>
      </c>
      <c r="B121" s="196" t="s">
        <v>113</v>
      </c>
      <c r="C121" s="201">
        <f>VLOOKUP(A121,'Contribution Allocation_Report'!$A$9:$D$314,4,FALSE)</f>
        <v>2.3387901517925609E-4</v>
      </c>
      <c r="D121" s="11"/>
      <c r="E121" s="241">
        <f>VLOOKUP(A121,'Contribution Allocation_Rep 23'!$A$9:$D$312,4,FALSE)</f>
        <v>2.5513684878281502E-4</v>
      </c>
      <c r="F121" s="123"/>
      <c r="G121" s="134">
        <f t="shared" si="11"/>
        <v>-68552</v>
      </c>
      <c r="H121" s="240">
        <f t="shared" si="12"/>
        <v>-11560</v>
      </c>
      <c r="I121" s="120">
        <f t="shared" si="19"/>
        <v>-56992</v>
      </c>
      <c r="J121" s="120"/>
      <c r="K121" s="117"/>
      <c r="L121" s="243">
        <f t="shared" si="13"/>
        <v>-11560</v>
      </c>
      <c r="M121" s="243">
        <f t="shared" si="14"/>
        <v>-11560</v>
      </c>
      <c r="N121" s="243">
        <f t="shared" si="15"/>
        <v>-11560</v>
      </c>
      <c r="O121" s="243">
        <f t="shared" si="16"/>
        <v>-11560</v>
      </c>
      <c r="P121" s="244">
        <f t="shared" si="17"/>
        <v>-10752</v>
      </c>
      <c r="Q121" s="141">
        <f t="shared" si="18"/>
        <v>0</v>
      </c>
    </row>
    <row r="122" spans="1:17">
      <c r="A122" s="193">
        <v>9150</v>
      </c>
      <c r="B122" s="194" t="s">
        <v>114</v>
      </c>
      <c r="C122" s="200">
        <f>VLOOKUP(A122,'Contribution Allocation_Report'!$A$9:$D$314,4,FALSE)</f>
        <v>1.3116288812466757E-4</v>
      </c>
      <c r="D122" s="11"/>
      <c r="E122" s="241">
        <f>VLOOKUP(A122,'Contribution Allocation_Rep 23'!$A$9:$D$312,4,FALSE)</f>
        <v>1.1640225858271533E-4</v>
      </c>
      <c r="F122" s="123"/>
      <c r="G122" s="134">
        <f t="shared" si="11"/>
        <v>47600</v>
      </c>
      <c r="H122" s="240">
        <f t="shared" si="12"/>
        <v>8027</v>
      </c>
      <c r="I122" s="120">
        <f t="shared" si="19"/>
        <v>39573</v>
      </c>
      <c r="J122" s="120"/>
      <c r="K122" s="117"/>
      <c r="L122" s="243">
        <f t="shared" si="13"/>
        <v>8027</v>
      </c>
      <c r="M122" s="243">
        <f t="shared" si="14"/>
        <v>8027</v>
      </c>
      <c r="N122" s="243">
        <f t="shared" si="15"/>
        <v>8027</v>
      </c>
      <c r="O122" s="243">
        <f t="shared" si="16"/>
        <v>8027</v>
      </c>
      <c r="P122" s="244">
        <f t="shared" si="17"/>
        <v>7465</v>
      </c>
      <c r="Q122" s="141">
        <f t="shared" si="18"/>
        <v>0</v>
      </c>
    </row>
    <row r="123" spans="1:17">
      <c r="A123" s="195">
        <v>6017</v>
      </c>
      <c r="B123" s="196" t="s">
        <v>115</v>
      </c>
      <c r="C123" s="201">
        <f>VLOOKUP(A123,'Contribution Allocation_Report'!$A$9:$D$314,4,FALSE)</f>
        <v>1.2572031529249902E-2</v>
      </c>
      <c r="D123" s="11"/>
      <c r="E123" s="241">
        <f>VLOOKUP(A123,'Contribution Allocation_Rep 23'!$A$9:$D$312,4,FALSE)</f>
        <v>1.3117389988450658E-2</v>
      </c>
      <c r="F123" s="123"/>
      <c r="G123" s="134">
        <f t="shared" si="11"/>
        <v>-1758655</v>
      </c>
      <c r="H123" s="240">
        <f t="shared" si="12"/>
        <v>-296569</v>
      </c>
      <c r="I123" s="120">
        <f t="shared" si="19"/>
        <v>-1462086</v>
      </c>
      <c r="J123" s="120"/>
      <c r="K123" s="117"/>
      <c r="L123" s="243">
        <f t="shared" si="13"/>
        <v>-296569</v>
      </c>
      <c r="M123" s="243">
        <f t="shared" si="14"/>
        <v>-296569</v>
      </c>
      <c r="N123" s="243">
        <f t="shared" si="15"/>
        <v>-296569</v>
      </c>
      <c r="O123" s="243">
        <f t="shared" si="16"/>
        <v>-296569</v>
      </c>
      <c r="P123" s="244">
        <f t="shared" si="17"/>
        <v>-275810</v>
      </c>
      <c r="Q123" s="141">
        <f t="shared" si="18"/>
        <v>0</v>
      </c>
    </row>
    <row r="124" spans="1:17">
      <c r="A124" s="193">
        <v>26080</v>
      </c>
      <c r="B124" s="194" t="s">
        <v>116</v>
      </c>
      <c r="C124" s="200">
        <f>VLOOKUP(A124,'Contribution Allocation_Report'!$A$9:$D$314,4,FALSE)</f>
        <v>3.7228118392954138E-4</v>
      </c>
      <c r="D124" s="11"/>
      <c r="E124" s="241">
        <f>VLOOKUP(A124,'Contribution Allocation_Rep 23'!$A$9:$D$312,4,FALSE)</f>
        <v>3.7393996397021398E-4</v>
      </c>
      <c r="F124" s="123"/>
      <c r="G124" s="134">
        <f t="shared" si="11"/>
        <v>-5349</v>
      </c>
      <c r="H124" s="240">
        <f t="shared" si="12"/>
        <v>-902</v>
      </c>
      <c r="I124" s="120">
        <f t="shared" si="19"/>
        <v>-4447</v>
      </c>
      <c r="J124" s="120"/>
      <c r="K124" s="117"/>
      <c r="L124" s="243">
        <f t="shared" si="13"/>
        <v>-902</v>
      </c>
      <c r="M124" s="243">
        <f t="shared" si="14"/>
        <v>-902</v>
      </c>
      <c r="N124" s="243">
        <f t="shared" si="15"/>
        <v>-902</v>
      </c>
      <c r="O124" s="243">
        <f t="shared" si="16"/>
        <v>-902</v>
      </c>
      <c r="P124" s="244">
        <f t="shared" si="17"/>
        <v>-839</v>
      </c>
      <c r="Q124" s="141">
        <f t="shared" si="18"/>
        <v>0</v>
      </c>
    </row>
    <row r="125" spans="1:17">
      <c r="A125" s="195">
        <v>2327</v>
      </c>
      <c r="B125" s="196" t="s">
        <v>117</v>
      </c>
      <c r="C125" s="201">
        <f>VLOOKUP(A125,'Contribution Allocation_Report'!$A$9:$D$314,4,FALSE)</f>
        <v>4.6507274405269735E-4</v>
      </c>
      <c r="D125" s="11"/>
      <c r="E125" s="241">
        <f>VLOOKUP(A125,'Contribution Allocation_Rep 23'!$A$9:$D$312,4,FALSE)</f>
        <v>4.5554289736649689E-4</v>
      </c>
      <c r="F125" s="123"/>
      <c r="G125" s="134">
        <f t="shared" si="11"/>
        <v>30732</v>
      </c>
      <c r="H125" s="240">
        <f t="shared" si="12"/>
        <v>5182</v>
      </c>
      <c r="I125" s="120">
        <f t="shared" si="19"/>
        <v>25550</v>
      </c>
      <c r="J125" s="120"/>
      <c r="K125" s="117"/>
      <c r="L125" s="243">
        <f t="shared" si="13"/>
        <v>5182</v>
      </c>
      <c r="M125" s="243">
        <f t="shared" si="14"/>
        <v>5182</v>
      </c>
      <c r="N125" s="243">
        <f t="shared" si="15"/>
        <v>5182</v>
      </c>
      <c r="O125" s="243">
        <f t="shared" si="16"/>
        <v>5182</v>
      </c>
      <c r="P125" s="244">
        <f t="shared" si="17"/>
        <v>4822</v>
      </c>
      <c r="Q125" s="141">
        <f t="shared" si="18"/>
        <v>0</v>
      </c>
    </row>
    <row r="126" spans="1:17">
      <c r="A126" s="193">
        <v>10119</v>
      </c>
      <c r="B126" s="194" t="s">
        <v>118</v>
      </c>
      <c r="C126" s="200">
        <f>VLOOKUP(A126,'Contribution Allocation_Report'!$A$9:$D$314,4,FALSE)</f>
        <v>2.1376292302867852E-4</v>
      </c>
      <c r="D126" s="11"/>
      <c r="E126" s="241">
        <f>VLOOKUP(A126,'Contribution Allocation_Rep 23'!$A$9:$D$312,4,FALSE)</f>
        <v>2.3982374883876022E-4</v>
      </c>
      <c r="F126" s="123"/>
      <c r="G126" s="134">
        <f t="shared" si="11"/>
        <v>-84040</v>
      </c>
      <c r="H126" s="240">
        <f t="shared" si="12"/>
        <v>-14172</v>
      </c>
      <c r="I126" s="120">
        <f t="shared" si="19"/>
        <v>-69868</v>
      </c>
      <c r="J126" s="120"/>
      <c r="K126" s="117"/>
      <c r="L126" s="243">
        <f t="shared" si="13"/>
        <v>-14172</v>
      </c>
      <c r="M126" s="243">
        <f t="shared" si="14"/>
        <v>-14172</v>
      </c>
      <c r="N126" s="243">
        <f t="shared" si="15"/>
        <v>-14172</v>
      </c>
      <c r="O126" s="243">
        <f t="shared" si="16"/>
        <v>-14172</v>
      </c>
      <c r="P126" s="244">
        <f t="shared" si="17"/>
        <v>-13180</v>
      </c>
      <c r="Q126" s="141">
        <f t="shared" si="18"/>
        <v>0</v>
      </c>
    </row>
    <row r="127" spans="1:17">
      <c r="A127" s="195">
        <v>573</v>
      </c>
      <c r="B127" s="196" t="s">
        <v>399</v>
      </c>
      <c r="C127" s="201">
        <f>VLOOKUP(A127,'Contribution Allocation_Report'!$A$9:$D$314,4,FALSE)</f>
        <v>1.0938772873309974E-3</v>
      </c>
      <c r="D127" s="11"/>
      <c r="E127" s="241">
        <f>VLOOKUP(A127,'Contribution Allocation_Rep 23'!$A$9:$D$312,4,FALSE)</f>
        <v>7.7785134875453293E-4</v>
      </c>
      <c r="F127" s="123"/>
      <c r="G127" s="134">
        <f t="shared" si="11"/>
        <v>1019110</v>
      </c>
      <c r="H127" s="240">
        <f t="shared" si="12"/>
        <v>171857</v>
      </c>
      <c r="I127" s="120">
        <f t="shared" si="19"/>
        <v>847253</v>
      </c>
      <c r="J127" s="120"/>
      <c r="K127" s="117"/>
      <c r="L127" s="243">
        <f t="shared" si="13"/>
        <v>171857</v>
      </c>
      <c r="M127" s="243">
        <f t="shared" si="14"/>
        <v>171857</v>
      </c>
      <c r="N127" s="243">
        <f t="shared" si="15"/>
        <v>171857</v>
      </c>
      <c r="O127" s="243">
        <f t="shared" si="16"/>
        <v>171857</v>
      </c>
      <c r="P127" s="244">
        <f t="shared" si="17"/>
        <v>159825</v>
      </c>
      <c r="Q127" s="141">
        <f t="shared" si="18"/>
        <v>0</v>
      </c>
    </row>
    <row r="128" spans="1:17">
      <c r="A128" s="193">
        <v>2368</v>
      </c>
      <c r="B128" s="194" t="s">
        <v>119</v>
      </c>
      <c r="C128" s="200">
        <f>VLOOKUP(A128,'Contribution Allocation_Report'!$A$9:$D$314,4,FALSE)</f>
        <v>4.5017804194120417E-4</v>
      </c>
      <c r="D128" s="11"/>
      <c r="E128" s="241">
        <f>VLOOKUP(A128,'Contribution Allocation_Rep 23'!$A$9:$D$312,4,FALSE)</f>
        <v>4.7407751035465447E-4</v>
      </c>
      <c r="F128" s="123"/>
      <c r="G128" s="134">
        <f t="shared" si="11"/>
        <v>-77070</v>
      </c>
      <c r="H128" s="240">
        <f t="shared" si="12"/>
        <v>-12997</v>
      </c>
      <c r="I128" s="120">
        <f t="shared" si="19"/>
        <v>-64073</v>
      </c>
      <c r="J128" s="120"/>
      <c r="K128" s="117"/>
      <c r="L128" s="243">
        <f t="shared" si="13"/>
        <v>-12997</v>
      </c>
      <c r="M128" s="243">
        <f t="shared" si="14"/>
        <v>-12997</v>
      </c>
      <c r="N128" s="243">
        <f t="shared" si="15"/>
        <v>-12997</v>
      </c>
      <c r="O128" s="243">
        <f t="shared" si="16"/>
        <v>-12997</v>
      </c>
      <c r="P128" s="244">
        <f t="shared" si="17"/>
        <v>-12085</v>
      </c>
      <c r="Q128" s="141">
        <f t="shared" si="18"/>
        <v>0</v>
      </c>
    </row>
    <row r="129" spans="1:17">
      <c r="A129" s="195">
        <v>7420</v>
      </c>
      <c r="B129" s="196" t="s">
        <v>120</v>
      </c>
      <c r="C129" s="201">
        <f>VLOOKUP(A129,'Contribution Allocation_Report'!$A$9:$D$314,4,FALSE)</f>
        <v>2.704287454528465E-4</v>
      </c>
      <c r="D129" s="11"/>
      <c r="E129" s="241">
        <f>VLOOKUP(A129,'Contribution Allocation_Rep 23'!$A$9:$D$312,4,FALSE)</f>
        <v>2.6426883426826619E-4</v>
      </c>
      <c r="F129" s="123"/>
      <c r="G129" s="134">
        <f t="shared" si="11"/>
        <v>19864</v>
      </c>
      <c r="H129" s="240">
        <f t="shared" si="12"/>
        <v>3350</v>
      </c>
      <c r="I129" s="120">
        <f t="shared" si="19"/>
        <v>16514</v>
      </c>
      <c r="J129" s="120"/>
      <c r="K129" s="117"/>
      <c r="L129" s="243">
        <f t="shared" si="13"/>
        <v>3350</v>
      </c>
      <c r="M129" s="243">
        <f t="shared" si="14"/>
        <v>3350</v>
      </c>
      <c r="N129" s="243">
        <f t="shared" si="15"/>
        <v>3350</v>
      </c>
      <c r="O129" s="243">
        <f t="shared" si="16"/>
        <v>3350</v>
      </c>
      <c r="P129" s="244">
        <f t="shared" si="17"/>
        <v>3114</v>
      </c>
      <c r="Q129" s="141">
        <f t="shared" si="18"/>
        <v>0</v>
      </c>
    </row>
    <row r="130" spans="1:17">
      <c r="A130" s="193">
        <v>6018</v>
      </c>
      <c r="B130" s="194" t="s">
        <v>121</v>
      </c>
      <c r="C130" s="200">
        <f>VLOOKUP(A130,'Contribution Allocation_Report'!$A$9:$D$314,4,FALSE)</f>
        <v>9.1827369601652929E-4</v>
      </c>
      <c r="D130" s="11"/>
      <c r="E130" s="241">
        <f>VLOOKUP(A130,'Contribution Allocation_Rep 23'!$A$9:$D$312,4,FALSE)</f>
        <v>8.5557799003270854E-4</v>
      </c>
      <c r="F130" s="123"/>
      <c r="G130" s="134">
        <f t="shared" si="11"/>
        <v>202179</v>
      </c>
      <c r="H130" s="240">
        <f t="shared" si="12"/>
        <v>34094</v>
      </c>
      <c r="I130" s="120">
        <f t="shared" si="19"/>
        <v>168085</v>
      </c>
      <c r="J130" s="120"/>
      <c r="K130" s="117"/>
      <c r="L130" s="243">
        <f t="shared" si="13"/>
        <v>34094</v>
      </c>
      <c r="M130" s="243">
        <f t="shared" si="14"/>
        <v>34094</v>
      </c>
      <c r="N130" s="243">
        <f t="shared" si="15"/>
        <v>34094</v>
      </c>
      <c r="O130" s="243">
        <f t="shared" si="16"/>
        <v>34094</v>
      </c>
      <c r="P130" s="244">
        <f t="shared" si="17"/>
        <v>31709</v>
      </c>
      <c r="Q130" s="141">
        <f t="shared" si="18"/>
        <v>0</v>
      </c>
    </row>
    <row r="131" spans="1:17">
      <c r="A131" s="195">
        <v>3321</v>
      </c>
      <c r="B131" s="196" t="s">
        <v>122</v>
      </c>
      <c r="C131" s="201">
        <f>VLOOKUP(A131,'Contribution Allocation_Report'!$A$9:$D$314,4,FALSE)</f>
        <v>2.7359298633367502E-4</v>
      </c>
      <c r="D131" s="11"/>
      <c r="E131" s="241">
        <f>VLOOKUP(A131,'Contribution Allocation_Rep 23'!$A$9:$D$312,4,FALSE)</f>
        <v>3.3958588855410469E-4</v>
      </c>
      <c r="F131" s="123"/>
      <c r="G131" s="134">
        <f t="shared" si="11"/>
        <v>-212812</v>
      </c>
      <c r="H131" s="240">
        <f t="shared" si="12"/>
        <v>-35887</v>
      </c>
      <c r="I131" s="120">
        <f t="shared" si="19"/>
        <v>-176925</v>
      </c>
      <c r="J131" s="120"/>
      <c r="K131" s="117"/>
      <c r="L131" s="243">
        <f t="shared" si="13"/>
        <v>-35887</v>
      </c>
      <c r="M131" s="243">
        <f t="shared" si="14"/>
        <v>-35887</v>
      </c>
      <c r="N131" s="243">
        <f t="shared" si="15"/>
        <v>-35887</v>
      </c>
      <c r="O131" s="243">
        <f t="shared" si="16"/>
        <v>-35887</v>
      </c>
      <c r="P131" s="244">
        <f t="shared" si="17"/>
        <v>-33377</v>
      </c>
      <c r="Q131" s="141">
        <f t="shared" si="18"/>
        <v>0</v>
      </c>
    </row>
    <row r="132" spans="1:17">
      <c r="A132" s="193">
        <v>29122</v>
      </c>
      <c r="B132" s="194" t="s">
        <v>123</v>
      </c>
      <c r="C132" s="200">
        <f>VLOOKUP(A132,'Contribution Allocation_Report'!$A$9:$D$314,4,FALSE)</f>
        <v>3.5367262093310541E-4</v>
      </c>
      <c r="D132" s="11"/>
      <c r="E132" s="241">
        <f>VLOOKUP(A132,'Contribution Allocation_Rep 23'!$A$9:$D$312,4,FALSE)</f>
        <v>4.7810221906286951E-4</v>
      </c>
      <c r="F132" s="123"/>
      <c r="G132" s="134">
        <f t="shared" si="11"/>
        <v>-401257</v>
      </c>
      <c r="H132" s="240">
        <f t="shared" si="12"/>
        <v>-67666</v>
      </c>
      <c r="I132" s="120">
        <f t="shared" si="19"/>
        <v>-333591</v>
      </c>
      <c r="J132" s="120"/>
      <c r="K132" s="117"/>
      <c r="L132" s="243">
        <f t="shared" si="13"/>
        <v>-67666</v>
      </c>
      <c r="M132" s="243">
        <f t="shared" si="14"/>
        <v>-67666</v>
      </c>
      <c r="N132" s="243">
        <f t="shared" si="15"/>
        <v>-67666</v>
      </c>
      <c r="O132" s="243">
        <f t="shared" si="16"/>
        <v>-67666</v>
      </c>
      <c r="P132" s="244">
        <f t="shared" si="17"/>
        <v>-62927</v>
      </c>
      <c r="Q132" s="141">
        <f t="shared" si="18"/>
        <v>0</v>
      </c>
    </row>
    <row r="133" spans="1:17">
      <c r="A133" s="195">
        <v>29088</v>
      </c>
      <c r="B133" s="196" t="s">
        <v>124</v>
      </c>
      <c r="C133" s="201">
        <f>VLOOKUP(A133,'Contribution Allocation_Report'!$A$9:$D$314,4,FALSE)</f>
        <v>5.2845963395574684E-4</v>
      </c>
      <c r="D133" s="11"/>
      <c r="E133" s="241">
        <f>VLOOKUP(A133,'Contribution Allocation_Rep 23'!$A$9:$D$312,4,FALSE)</f>
        <v>5.8988610257693888E-4</v>
      </c>
      <c r="F133" s="123"/>
      <c r="G133" s="134">
        <f t="shared" ref="G133:G196" si="20">ROUND((E133-C133)*$G$318,0)</f>
        <v>-198086</v>
      </c>
      <c r="H133" s="240">
        <f t="shared" si="12"/>
        <v>-33404</v>
      </c>
      <c r="I133" s="120">
        <f t="shared" si="19"/>
        <v>-164682</v>
      </c>
      <c r="J133" s="120"/>
      <c r="K133" s="117"/>
      <c r="L133" s="243">
        <f t="shared" si="13"/>
        <v>-33404</v>
      </c>
      <c r="M133" s="243">
        <f t="shared" si="14"/>
        <v>-33404</v>
      </c>
      <c r="N133" s="243">
        <f t="shared" si="15"/>
        <v>-33404</v>
      </c>
      <c r="O133" s="243">
        <f t="shared" si="16"/>
        <v>-33404</v>
      </c>
      <c r="P133" s="244">
        <f t="shared" si="17"/>
        <v>-31066</v>
      </c>
      <c r="Q133" s="141">
        <f t="shared" si="18"/>
        <v>0</v>
      </c>
    </row>
    <row r="134" spans="1:17">
      <c r="A134" s="193">
        <v>7337</v>
      </c>
      <c r="B134" s="194" t="s">
        <v>125</v>
      </c>
      <c r="C134" s="200">
        <f>VLOOKUP(A134,'Contribution Allocation_Report'!$A$9:$D$314,4,FALSE)</f>
        <v>1.0483608992760021E-4</v>
      </c>
      <c r="D134" s="11"/>
      <c r="E134" s="241">
        <f>VLOOKUP(A134,'Contribution Allocation_Rep 23'!$A$9:$D$312,4,FALSE)</f>
        <v>1.6503924819977878E-4</v>
      </c>
      <c r="F134" s="123"/>
      <c r="G134" s="134">
        <f t="shared" si="20"/>
        <v>-194141</v>
      </c>
      <c r="H134" s="240">
        <f t="shared" ref="H134:H197" si="21">ROUND(G134/5.93,0)</f>
        <v>-32739</v>
      </c>
      <c r="I134" s="120">
        <f t="shared" si="19"/>
        <v>-161402</v>
      </c>
      <c r="J134" s="120"/>
      <c r="K134" s="117"/>
      <c r="L134" s="243">
        <f t="shared" ref="L134:L197" si="22">+H134</f>
        <v>-32739</v>
      </c>
      <c r="M134" s="243">
        <f t="shared" ref="M134:M197" si="23">+L134</f>
        <v>-32739</v>
      </c>
      <c r="N134" s="243">
        <f t="shared" ref="N134:N197" si="24">+M134</f>
        <v>-32739</v>
      </c>
      <c r="O134" s="243">
        <f t="shared" ref="O134:O197" si="25">+N134</f>
        <v>-32739</v>
      </c>
      <c r="P134" s="244">
        <f t="shared" ref="P134:P197" si="26">I134-SUM(L134:O134)</f>
        <v>-30446</v>
      </c>
      <c r="Q134" s="141">
        <f t="shared" si="18"/>
        <v>0</v>
      </c>
    </row>
    <row r="135" spans="1:17">
      <c r="A135" s="195">
        <v>2329</v>
      </c>
      <c r="B135" s="196" t="s">
        <v>126</v>
      </c>
      <c r="C135" s="201">
        <f>VLOOKUP(A135,'Contribution Allocation_Report'!$A$9:$D$314,4,FALSE)</f>
        <v>3.5796750867954022E-4</v>
      </c>
      <c r="D135" s="11"/>
      <c r="E135" s="241">
        <f>VLOOKUP(A135,'Contribution Allocation_Rep 23'!$A$9:$D$312,4,FALSE)</f>
        <v>3.8894750034639995E-4</v>
      </c>
      <c r="F135" s="123"/>
      <c r="G135" s="134">
        <f t="shared" si="20"/>
        <v>-99903</v>
      </c>
      <c r="H135" s="240">
        <f t="shared" si="21"/>
        <v>-16847</v>
      </c>
      <c r="I135" s="120">
        <f t="shared" si="19"/>
        <v>-83056</v>
      </c>
      <c r="J135" s="120"/>
      <c r="K135" s="117"/>
      <c r="L135" s="243">
        <f t="shared" si="22"/>
        <v>-16847</v>
      </c>
      <c r="M135" s="243">
        <f t="shared" si="23"/>
        <v>-16847</v>
      </c>
      <c r="N135" s="243">
        <f t="shared" si="24"/>
        <v>-16847</v>
      </c>
      <c r="O135" s="243">
        <f t="shared" si="25"/>
        <v>-16847</v>
      </c>
      <c r="P135" s="244">
        <f t="shared" si="26"/>
        <v>-15668</v>
      </c>
      <c r="Q135" s="141">
        <f t="shared" ref="Q135:Q197" si="27">+I135-SUM(L135:P135)</f>
        <v>0</v>
      </c>
    </row>
    <row r="136" spans="1:17">
      <c r="A136" s="193">
        <v>4010</v>
      </c>
      <c r="B136" s="194" t="s">
        <v>129</v>
      </c>
      <c r="C136" s="200">
        <f>VLOOKUP(A136,'Contribution Allocation_Report'!$A$9:$D$314,4,FALSE)</f>
        <v>2.969204296511481E-4</v>
      </c>
      <c r="D136" s="11"/>
      <c r="E136" s="241">
        <f>VLOOKUP(A136,'Contribution Allocation_Rep 23'!$A$9:$D$312,4,FALSE)</f>
        <v>2.8039386026408673E-4</v>
      </c>
      <c r="F136" s="123"/>
      <c r="G136" s="134">
        <f t="shared" si="20"/>
        <v>53294</v>
      </c>
      <c r="H136" s="240">
        <f t="shared" si="21"/>
        <v>8987</v>
      </c>
      <c r="I136" s="120">
        <f t="shared" ref="I136:I198" si="28">G136-H136</f>
        <v>44307</v>
      </c>
      <c r="J136" s="120"/>
      <c r="K136" s="117"/>
      <c r="L136" s="243">
        <f t="shared" si="22"/>
        <v>8987</v>
      </c>
      <c r="M136" s="243">
        <f t="shared" si="23"/>
        <v>8987</v>
      </c>
      <c r="N136" s="243">
        <f t="shared" si="24"/>
        <v>8987</v>
      </c>
      <c r="O136" s="243">
        <f t="shared" si="25"/>
        <v>8987</v>
      </c>
      <c r="P136" s="244">
        <f t="shared" si="26"/>
        <v>8359</v>
      </c>
      <c r="Q136" s="141">
        <f t="shared" si="27"/>
        <v>0</v>
      </c>
    </row>
    <row r="137" spans="1:17">
      <c r="A137" s="195">
        <v>7023</v>
      </c>
      <c r="B137" s="196" t="s">
        <v>421</v>
      </c>
      <c r="C137" s="201">
        <f>VLOOKUP(A137,'Contribution Allocation_Report'!$A$9:$D$314,4,FALSE)</f>
        <v>3.3026328423501936E-2</v>
      </c>
      <c r="D137" s="11"/>
      <c r="E137" s="241">
        <f>VLOOKUP(A137,'Contribution Allocation_Rep 23'!$A$9:$D$312,4,FALSE)</f>
        <v>3.4109886473443804E-2</v>
      </c>
      <c r="F137" s="123"/>
      <c r="G137" s="134">
        <f t="shared" si="20"/>
        <v>-3494223</v>
      </c>
      <c r="H137" s="240">
        <f t="shared" si="21"/>
        <v>-589245</v>
      </c>
      <c r="I137" s="120">
        <f t="shared" si="28"/>
        <v>-2904978</v>
      </c>
      <c r="J137" s="120"/>
      <c r="K137" s="117"/>
      <c r="L137" s="243">
        <f t="shared" si="22"/>
        <v>-589245</v>
      </c>
      <c r="M137" s="243">
        <f t="shared" si="23"/>
        <v>-589245</v>
      </c>
      <c r="N137" s="243">
        <f t="shared" si="24"/>
        <v>-589245</v>
      </c>
      <c r="O137" s="243">
        <f t="shared" si="25"/>
        <v>-589245</v>
      </c>
      <c r="P137" s="244">
        <f t="shared" si="26"/>
        <v>-547998</v>
      </c>
      <c r="Q137" s="141">
        <f t="shared" si="27"/>
        <v>0</v>
      </c>
    </row>
    <row r="138" spans="1:17">
      <c r="A138" s="193">
        <v>7338</v>
      </c>
      <c r="B138" s="194" t="s">
        <v>131</v>
      </c>
      <c r="C138" s="200">
        <f>VLOOKUP(A138,'Contribution Allocation_Report'!$A$9:$D$314,4,FALSE)</f>
        <v>2.4200553952580091E-4</v>
      </c>
      <c r="D138" s="11"/>
      <c r="E138" s="241">
        <f>VLOOKUP(A138,'Contribution Allocation_Rep 23'!$A$9:$D$312,4,FALSE)</f>
        <v>2.3583396168115871E-4</v>
      </c>
      <c r="F138" s="123"/>
      <c r="G138" s="134">
        <f t="shared" si="20"/>
        <v>19902</v>
      </c>
      <c r="H138" s="240">
        <f t="shared" si="21"/>
        <v>3356</v>
      </c>
      <c r="I138" s="120">
        <f t="shared" si="28"/>
        <v>16546</v>
      </c>
      <c r="J138" s="120"/>
      <c r="K138" s="117"/>
      <c r="L138" s="243">
        <f t="shared" si="22"/>
        <v>3356</v>
      </c>
      <c r="M138" s="243">
        <f t="shared" si="23"/>
        <v>3356</v>
      </c>
      <c r="N138" s="243">
        <f t="shared" si="24"/>
        <v>3356</v>
      </c>
      <c r="O138" s="243">
        <f t="shared" si="25"/>
        <v>3356</v>
      </c>
      <c r="P138" s="244">
        <f t="shared" si="26"/>
        <v>3122</v>
      </c>
      <c r="Q138" s="141">
        <f t="shared" si="27"/>
        <v>0</v>
      </c>
    </row>
    <row r="139" spans="1:17">
      <c r="A139" s="195">
        <v>12037</v>
      </c>
      <c r="B139" s="196" t="s">
        <v>132</v>
      </c>
      <c r="C139" s="201">
        <f>VLOOKUP(A139,'Contribution Allocation_Report'!$A$9:$D$314,4,FALSE)</f>
        <v>1.9263945592770317E-3</v>
      </c>
      <c r="D139" s="11"/>
      <c r="E139" s="241">
        <f>VLOOKUP(A139,'Contribution Allocation_Rep 23'!$A$9:$D$312,4,FALSE)</f>
        <v>1.9384079706832884E-3</v>
      </c>
      <c r="F139" s="123"/>
      <c r="G139" s="134">
        <f t="shared" si="20"/>
        <v>-38740</v>
      </c>
      <c r="H139" s="240">
        <f t="shared" si="21"/>
        <v>-6533</v>
      </c>
      <c r="I139" s="120">
        <f t="shared" si="28"/>
        <v>-32207</v>
      </c>
      <c r="J139" s="120"/>
      <c r="K139" s="117"/>
      <c r="L139" s="243">
        <f t="shared" si="22"/>
        <v>-6533</v>
      </c>
      <c r="M139" s="243">
        <f t="shared" si="23"/>
        <v>-6533</v>
      </c>
      <c r="N139" s="243">
        <f t="shared" si="24"/>
        <v>-6533</v>
      </c>
      <c r="O139" s="243">
        <f t="shared" si="25"/>
        <v>-6533</v>
      </c>
      <c r="P139" s="244">
        <f t="shared" si="26"/>
        <v>-6075</v>
      </c>
      <c r="Q139" s="141">
        <f t="shared" si="27"/>
        <v>0</v>
      </c>
    </row>
    <row r="140" spans="1:17">
      <c r="A140" s="193">
        <v>3150</v>
      </c>
      <c r="B140" s="194" t="s">
        <v>133</v>
      </c>
      <c r="C140" s="200">
        <f>VLOOKUP(A140,'Contribution Allocation_Report'!$A$9:$D$314,4,FALSE)</f>
        <v>4.3296237306948036E-3</v>
      </c>
      <c r="D140" s="11"/>
      <c r="E140" s="241">
        <f>VLOOKUP(A140,'Contribution Allocation_Rep 23'!$A$9:$D$312,4,FALSE)</f>
        <v>3.9266228029291956E-3</v>
      </c>
      <c r="F140" s="123"/>
      <c r="G140" s="134">
        <f t="shared" si="20"/>
        <v>1299585</v>
      </c>
      <c r="H140" s="240">
        <f t="shared" si="21"/>
        <v>219154</v>
      </c>
      <c r="I140" s="120">
        <f t="shared" si="28"/>
        <v>1080431</v>
      </c>
      <c r="J140" s="120"/>
      <c r="K140" s="117"/>
      <c r="L140" s="243">
        <f t="shared" si="22"/>
        <v>219154</v>
      </c>
      <c r="M140" s="243">
        <f t="shared" si="23"/>
        <v>219154</v>
      </c>
      <c r="N140" s="243">
        <f t="shared" si="24"/>
        <v>219154</v>
      </c>
      <c r="O140" s="243">
        <f t="shared" si="25"/>
        <v>219154</v>
      </c>
      <c r="P140" s="244">
        <f t="shared" si="26"/>
        <v>203815</v>
      </c>
      <c r="Q140" s="141">
        <f t="shared" si="27"/>
        <v>0</v>
      </c>
    </row>
    <row r="141" spans="1:17">
      <c r="A141" s="195">
        <v>3160</v>
      </c>
      <c r="B141" s="196" t="s">
        <v>134</v>
      </c>
      <c r="C141" s="201">
        <f>VLOOKUP(A141,'Contribution Allocation_Report'!$A$9:$D$314,4,FALSE)</f>
        <v>9.2646303407783006E-4</v>
      </c>
      <c r="D141" s="11"/>
      <c r="E141" s="241">
        <f>VLOOKUP(A141,'Contribution Allocation_Rep 23'!$A$9:$D$312,4,FALSE)</f>
        <v>9.0943575146650219E-4</v>
      </c>
      <c r="F141" s="123"/>
      <c r="G141" s="134">
        <f t="shared" si="20"/>
        <v>54909</v>
      </c>
      <c r="H141" s="240">
        <f t="shared" si="21"/>
        <v>9260</v>
      </c>
      <c r="I141" s="120">
        <f t="shared" si="28"/>
        <v>45649</v>
      </c>
      <c r="J141" s="120"/>
      <c r="K141" s="117"/>
      <c r="L141" s="243">
        <f t="shared" si="22"/>
        <v>9260</v>
      </c>
      <c r="M141" s="243">
        <f t="shared" si="23"/>
        <v>9260</v>
      </c>
      <c r="N141" s="243">
        <f t="shared" si="24"/>
        <v>9260</v>
      </c>
      <c r="O141" s="243">
        <f t="shared" si="25"/>
        <v>9260</v>
      </c>
      <c r="P141" s="244">
        <f t="shared" si="26"/>
        <v>8609</v>
      </c>
      <c r="Q141" s="141">
        <f t="shared" si="27"/>
        <v>0</v>
      </c>
    </row>
    <row r="142" spans="1:17">
      <c r="A142" s="193">
        <v>10120</v>
      </c>
      <c r="B142" s="194" t="s">
        <v>135</v>
      </c>
      <c r="C142" s="200">
        <f>VLOOKUP(A142,'Contribution Allocation_Report'!$A$9:$D$314,4,FALSE)</f>
        <v>4.5215667395601507E-4</v>
      </c>
      <c r="D142" s="11"/>
      <c r="E142" s="241">
        <f>VLOOKUP(A142,'Contribution Allocation_Rep 23'!$A$9:$D$312,4,FALSE)</f>
        <v>4.6650826425916102E-4</v>
      </c>
      <c r="F142" s="123"/>
      <c r="G142" s="134">
        <f t="shared" si="20"/>
        <v>-46281</v>
      </c>
      <c r="H142" s="240">
        <f t="shared" si="21"/>
        <v>-7805</v>
      </c>
      <c r="I142" s="120">
        <f t="shared" si="28"/>
        <v>-38476</v>
      </c>
      <c r="J142" s="120"/>
      <c r="K142" s="117"/>
      <c r="L142" s="243">
        <f t="shared" si="22"/>
        <v>-7805</v>
      </c>
      <c r="M142" s="243">
        <f t="shared" si="23"/>
        <v>-7805</v>
      </c>
      <c r="N142" s="243">
        <f t="shared" si="24"/>
        <v>-7805</v>
      </c>
      <c r="O142" s="243">
        <f t="shared" si="25"/>
        <v>-7805</v>
      </c>
      <c r="P142" s="244">
        <f t="shared" si="26"/>
        <v>-7256</v>
      </c>
      <c r="Q142" s="141">
        <f t="shared" si="27"/>
        <v>0</v>
      </c>
    </row>
    <row r="143" spans="1:17">
      <c r="A143" s="195">
        <v>23070</v>
      </c>
      <c r="B143" s="196" t="s">
        <v>136</v>
      </c>
      <c r="C143" s="201">
        <f>VLOOKUP(A143,'Contribution Allocation_Report'!$A$9:$D$314,4,FALSE)</f>
        <v>6.7004174701554959E-4</v>
      </c>
      <c r="D143" s="11"/>
      <c r="E143" s="241">
        <f>VLOOKUP(A143,'Contribution Allocation_Rep 23'!$A$9:$D$312,4,FALSE)</f>
        <v>7.0433275432529375E-4</v>
      </c>
      <c r="F143" s="123"/>
      <c r="G143" s="134">
        <f t="shared" si="20"/>
        <v>-110581</v>
      </c>
      <c r="H143" s="240">
        <f t="shared" si="21"/>
        <v>-18648</v>
      </c>
      <c r="I143" s="120">
        <f t="shared" si="28"/>
        <v>-91933</v>
      </c>
      <c r="J143" s="120"/>
      <c r="K143" s="117"/>
      <c r="L143" s="243">
        <f t="shared" si="22"/>
        <v>-18648</v>
      </c>
      <c r="M143" s="243">
        <f t="shared" si="23"/>
        <v>-18648</v>
      </c>
      <c r="N143" s="243">
        <f t="shared" si="24"/>
        <v>-18648</v>
      </c>
      <c r="O143" s="243">
        <f t="shared" si="25"/>
        <v>-18648</v>
      </c>
      <c r="P143" s="244">
        <f t="shared" si="26"/>
        <v>-17341</v>
      </c>
      <c r="Q143" s="141">
        <f t="shared" si="27"/>
        <v>0</v>
      </c>
    </row>
    <row r="144" spans="1:17">
      <c r="A144" s="193">
        <v>3170</v>
      </c>
      <c r="B144" s="194" t="s">
        <v>137</v>
      </c>
      <c r="C144" s="200">
        <f>VLOOKUP(A144,'Contribution Allocation_Report'!$A$9:$D$314,4,FALSE)</f>
        <v>9.9772126761122834E-3</v>
      </c>
      <c r="D144" s="11"/>
      <c r="E144" s="241">
        <f>VLOOKUP(A144,'Contribution Allocation_Rep 23'!$A$9:$D$312,4,FALSE)</f>
        <v>9.1165414296922979E-3</v>
      </c>
      <c r="F144" s="123"/>
      <c r="G144" s="134">
        <f t="shared" si="20"/>
        <v>2775465</v>
      </c>
      <c r="H144" s="240">
        <f t="shared" si="21"/>
        <v>468038</v>
      </c>
      <c r="I144" s="120">
        <f t="shared" si="28"/>
        <v>2307427</v>
      </c>
      <c r="J144" s="120"/>
      <c r="K144" s="117"/>
      <c r="L144" s="243">
        <f t="shared" si="22"/>
        <v>468038</v>
      </c>
      <c r="M144" s="243">
        <f t="shared" si="23"/>
        <v>468038</v>
      </c>
      <c r="N144" s="243">
        <f t="shared" si="24"/>
        <v>468038</v>
      </c>
      <c r="O144" s="243">
        <f t="shared" si="25"/>
        <v>468038</v>
      </c>
      <c r="P144" s="244">
        <f t="shared" si="26"/>
        <v>435275</v>
      </c>
      <c r="Q144" s="141">
        <f t="shared" si="27"/>
        <v>0</v>
      </c>
    </row>
    <row r="145" spans="1:17">
      <c r="A145" s="195">
        <v>32093</v>
      </c>
      <c r="B145" s="196" t="s">
        <v>138</v>
      </c>
      <c r="C145" s="201">
        <f>VLOOKUP(A145,'Contribution Allocation_Report'!$A$9:$D$314,4,FALSE)</f>
        <v>6.0701760631521554E-3</v>
      </c>
      <c r="D145" s="11"/>
      <c r="E145" s="241">
        <f>VLOOKUP(A145,'Contribution Allocation_Rep 23'!$A$9:$D$312,4,FALSE)</f>
        <v>6.0630097744285216E-3</v>
      </c>
      <c r="F145" s="123"/>
      <c r="G145" s="134">
        <f t="shared" si="20"/>
        <v>23110</v>
      </c>
      <c r="H145" s="240">
        <f t="shared" si="21"/>
        <v>3897</v>
      </c>
      <c r="I145" s="120">
        <f t="shared" si="28"/>
        <v>19213</v>
      </c>
      <c r="J145" s="120"/>
      <c r="K145" s="117"/>
      <c r="L145" s="243">
        <f t="shared" si="22"/>
        <v>3897</v>
      </c>
      <c r="M145" s="243">
        <f t="shared" si="23"/>
        <v>3897</v>
      </c>
      <c r="N145" s="243">
        <f t="shared" si="24"/>
        <v>3897</v>
      </c>
      <c r="O145" s="243">
        <f t="shared" si="25"/>
        <v>3897</v>
      </c>
      <c r="P145" s="244">
        <f t="shared" si="26"/>
        <v>3625</v>
      </c>
      <c r="Q145" s="141">
        <f t="shared" si="27"/>
        <v>0</v>
      </c>
    </row>
    <row r="146" spans="1:17">
      <c r="A146" s="193">
        <v>14045</v>
      </c>
      <c r="B146" s="194" t="s">
        <v>139</v>
      </c>
      <c r="C146" s="200">
        <f>VLOOKUP(A146,'Contribution Allocation_Report'!$A$9:$D$314,4,FALSE)</f>
        <v>1.1449895921993093E-2</v>
      </c>
      <c r="D146" s="11"/>
      <c r="E146" s="241">
        <f>VLOOKUP(A146,'Contribution Allocation_Rep 23'!$A$9:$D$312,4,FALSE)</f>
        <v>1.1455176561570173E-2</v>
      </c>
      <c r="F146" s="123"/>
      <c r="G146" s="134">
        <f t="shared" si="20"/>
        <v>-17029</v>
      </c>
      <c r="H146" s="240">
        <f t="shared" si="21"/>
        <v>-2872</v>
      </c>
      <c r="I146" s="120">
        <f t="shared" si="28"/>
        <v>-14157</v>
      </c>
      <c r="J146" s="120"/>
      <c r="K146" s="117"/>
      <c r="L146" s="243">
        <f t="shared" si="22"/>
        <v>-2872</v>
      </c>
      <c r="M146" s="243">
        <f t="shared" si="23"/>
        <v>-2872</v>
      </c>
      <c r="N146" s="243">
        <f t="shared" si="24"/>
        <v>-2872</v>
      </c>
      <c r="O146" s="243">
        <f t="shared" si="25"/>
        <v>-2872</v>
      </c>
      <c r="P146" s="244">
        <f t="shared" si="26"/>
        <v>-2669</v>
      </c>
      <c r="Q146" s="141">
        <f t="shared" si="27"/>
        <v>0</v>
      </c>
    </row>
    <row r="147" spans="1:17">
      <c r="A147" s="195">
        <v>2322</v>
      </c>
      <c r="B147" s="196" t="s">
        <v>140</v>
      </c>
      <c r="C147" s="201">
        <f>VLOOKUP(A147,'Contribution Allocation_Report'!$A$9:$D$314,4,FALSE)</f>
        <v>2.0493759610547431E-4</v>
      </c>
      <c r="D147" s="11"/>
      <c r="E147" s="241">
        <f>VLOOKUP(A147,'Contribution Allocation_Rep 23'!$A$9:$D$312,4,FALSE)</f>
        <v>2.7793189094582935E-4</v>
      </c>
      <c r="F147" s="123"/>
      <c r="G147" s="134">
        <f t="shared" si="20"/>
        <v>-235390</v>
      </c>
      <c r="H147" s="240">
        <f t="shared" si="21"/>
        <v>-39695</v>
      </c>
      <c r="I147" s="120">
        <f t="shared" si="28"/>
        <v>-195695</v>
      </c>
      <c r="J147" s="120"/>
      <c r="K147" s="117"/>
      <c r="L147" s="243">
        <f t="shared" si="22"/>
        <v>-39695</v>
      </c>
      <c r="M147" s="243">
        <f t="shared" si="23"/>
        <v>-39695</v>
      </c>
      <c r="N147" s="243">
        <f t="shared" si="24"/>
        <v>-39695</v>
      </c>
      <c r="O147" s="243">
        <f t="shared" si="25"/>
        <v>-39695</v>
      </c>
      <c r="P147" s="244">
        <f t="shared" si="26"/>
        <v>-36915</v>
      </c>
      <c r="Q147" s="141">
        <f t="shared" si="27"/>
        <v>0</v>
      </c>
    </row>
    <row r="148" spans="1:17">
      <c r="A148" s="193">
        <v>3006</v>
      </c>
      <c r="B148" s="194" t="s">
        <v>141</v>
      </c>
      <c r="C148" s="200">
        <f>VLOOKUP(A148,'Contribution Allocation_Report'!$A$9:$D$314,4,FALSE)</f>
        <v>8.9703480871468995E-4</v>
      </c>
      <c r="D148" s="11"/>
      <c r="E148" s="241">
        <f>VLOOKUP(A148,'Contribution Allocation_Rep 23'!$A$9:$D$312,4,FALSE)</f>
        <v>9.1743278655701194E-4</v>
      </c>
      <c r="F148" s="123"/>
      <c r="G148" s="134">
        <f t="shared" si="20"/>
        <v>-65779</v>
      </c>
      <c r="H148" s="240">
        <f t="shared" si="21"/>
        <v>-11093</v>
      </c>
      <c r="I148" s="120">
        <f t="shared" si="28"/>
        <v>-54686</v>
      </c>
      <c r="J148" s="120"/>
      <c r="K148" s="117"/>
      <c r="L148" s="243">
        <f t="shared" si="22"/>
        <v>-11093</v>
      </c>
      <c r="M148" s="243">
        <f t="shared" si="23"/>
        <v>-11093</v>
      </c>
      <c r="N148" s="243">
        <f t="shared" si="24"/>
        <v>-11093</v>
      </c>
      <c r="O148" s="243">
        <f t="shared" si="25"/>
        <v>-11093</v>
      </c>
      <c r="P148" s="244">
        <f t="shared" si="26"/>
        <v>-10314</v>
      </c>
      <c r="Q148" s="141">
        <f t="shared" si="27"/>
        <v>0</v>
      </c>
    </row>
    <row r="149" spans="1:17">
      <c r="A149" s="195">
        <v>6019</v>
      </c>
      <c r="B149" s="196" t="s">
        <v>142</v>
      </c>
      <c r="C149" s="201">
        <f>VLOOKUP(A149,'Contribution Allocation_Report'!$A$9:$D$314,4,FALSE)</f>
        <v>4.7995488342123943E-3</v>
      </c>
      <c r="D149" s="11"/>
      <c r="E149" s="241">
        <f>VLOOKUP(A149,'Contribution Allocation_Rep 23'!$A$9:$D$312,4,FALSE)</f>
        <v>4.9410763874783853E-3</v>
      </c>
      <c r="F149" s="123"/>
      <c r="G149" s="134">
        <f t="shared" si="20"/>
        <v>-456394</v>
      </c>
      <c r="H149" s="240">
        <f t="shared" si="21"/>
        <v>-76964</v>
      </c>
      <c r="I149" s="120">
        <f t="shared" si="28"/>
        <v>-379430</v>
      </c>
      <c r="J149" s="120"/>
      <c r="K149" s="117"/>
      <c r="L149" s="243">
        <f t="shared" si="22"/>
        <v>-76964</v>
      </c>
      <c r="M149" s="243">
        <f t="shared" si="23"/>
        <v>-76964</v>
      </c>
      <c r="N149" s="243">
        <f t="shared" si="24"/>
        <v>-76964</v>
      </c>
      <c r="O149" s="243">
        <f t="shared" si="25"/>
        <v>-76964</v>
      </c>
      <c r="P149" s="244">
        <f t="shared" si="26"/>
        <v>-71574</v>
      </c>
      <c r="Q149" s="141">
        <f t="shared" si="27"/>
        <v>0</v>
      </c>
    </row>
    <row r="150" spans="1:17">
      <c r="A150" s="193">
        <v>12128</v>
      </c>
      <c r="B150" s="194" t="s">
        <v>143</v>
      </c>
      <c r="C150" s="200">
        <f>VLOOKUP(A150,'Contribution Allocation_Report'!$A$9:$D$314,4,FALSE)</f>
        <v>9.2531668378353481E-4</v>
      </c>
      <c r="D150" s="11"/>
      <c r="E150" s="241">
        <f>VLOOKUP(A150,'Contribution Allocation_Rep 23'!$A$9:$D$312,4,FALSE)</f>
        <v>9.4897567714872805E-4</v>
      </c>
      <c r="F150" s="123"/>
      <c r="G150" s="134">
        <f t="shared" si="20"/>
        <v>-76295</v>
      </c>
      <c r="H150" s="240">
        <f t="shared" si="21"/>
        <v>-12866</v>
      </c>
      <c r="I150" s="120">
        <f t="shared" si="28"/>
        <v>-63429</v>
      </c>
      <c r="J150" s="120"/>
      <c r="K150" s="117"/>
      <c r="L150" s="243">
        <f t="shared" si="22"/>
        <v>-12866</v>
      </c>
      <c r="M150" s="243">
        <f t="shared" si="23"/>
        <v>-12866</v>
      </c>
      <c r="N150" s="243">
        <f t="shared" si="24"/>
        <v>-12866</v>
      </c>
      <c r="O150" s="243">
        <f t="shared" si="25"/>
        <v>-12866</v>
      </c>
      <c r="P150" s="244">
        <f t="shared" si="26"/>
        <v>-11965</v>
      </c>
      <c r="Q150" s="141">
        <f t="shared" si="27"/>
        <v>0</v>
      </c>
    </row>
    <row r="151" spans="1:17">
      <c r="A151" s="195">
        <v>3180</v>
      </c>
      <c r="B151" s="196" t="s">
        <v>144</v>
      </c>
      <c r="C151" s="201">
        <f>VLOOKUP(A151,'Contribution Allocation_Report'!$A$9:$D$314,4,FALSE)</f>
        <v>1.7163062385615734E-3</v>
      </c>
      <c r="D151" s="11"/>
      <c r="E151" s="241">
        <f>VLOOKUP(A151,'Contribution Allocation_Rep 23'!$A$9:$D$312,4,FALSE)</f>
        <v>1.7907334635261123E-3</v>
      </c>
      <c r="F151" s="123"/>
      <c r="G151" s="134">
        <f t="shared" si="20"/>
        <v>-240011</v>
      </c>
      <c r="H151" s="240">
        <f t="shared" si="21"/>
        <v>-40474</v>
      </c>
      <c r="I151" s="120">
        <f t="shared" si="28"/>
        <v>-199537</v>
      </c>
      <c r="J151" s="120"/>
      <c r="K151" s="117"/>
      <c r="L151" s="243">
        <f t="shared" si="22"/>
        <v>-40474</v>
      </c>
      <c r="M151" s="243">
        <f t="shared" si="23"/>
        <v>-40474</v>
      </c>
      <c r="N151" s="243">
        <f t="shared" si="24"/>
        <v>-40474</v>
      </c>
      <c r="O151" s="243">
        <f t="shared" si="25"/>
        <v>-40474</v>
      </c>
      <c r="P151" s="244">
        <f t="shared" si="26"/>
        <v>-37641</v>
      </c>
      <c r="Q151" s="141">
        <f t="shared" si="27"/>
        <v>0</v>
      </c>
    </row>
    <row r="152" spans="1:17">
      <c r="A152" s="193">
        <v>25075</v>
      </c>
      <c r="B152" s="194" t="s">
        <v>145</v>
      </c>
      <c r="C152" s="200">
        <f>VLOOKUP(A152,'Contribution Allocation_Report'!$A$9:$D$314,4,FALSE)</f>
        <v>7.5112640105107448E-4</v>
      </c>
      <c r="D152" s="11"/>
      <c r="E152" s="241">
        <f>VLOOKUP(A152,'Contribution Allocation_Rep 23'!$A$9:$D$312,4,FALSE)</f>
        <v>7.4893630484648872E-4</v>
      </c>
      <c r="F152" s="123"/>
      <c r="G152" s="134">
        <f t="shared" si="20"/>
        <v>7063</v>
      </c>
      <c r="H152" s="240">
        <f t="shared" si="21"/>
        <v>1191</v>
      </c>
      <c r="I152" s="120">
        <f t="shared" si="28"/>
        <v>5872</v>
      </c>
      <c r="J152" s="120"/>
      <c r="K152" s="117"/>
      <c r="L152" s="243">
        <f t="shared" si="22"/>
        <v>1191</v>
      </c>
      <c r="M152" s="243">
        <f t="shared" si="23"/>
        <v>1191</v>
      </c>
      <c r="N152" s="243">
        <f t="shared" si="24"/>
        <v>1191</v>
      </c>
      <c r="O152" s="243">
        <f t="shared" si="25"/>
        <v>1191</v>
      </c>
      <c r="P152" s="244">
        <f t="shared" si="26"/>
        <v>1108</v>
      </c>
      <c r="Q152" s="141">
        <f t="shared" si="27"/>
        <v>0</v>
      </c>
    </row>
    <row r="153" spans="1:17">
      <c r="A153" s="195">
        <v>2311</v>
      </c>
      <c r="B153" s="223" t="s">
        <v>422</v>
      </c>
      <c r="C153" s="224">
        <f>VLOOKUP(A153,'Contribution Allocation_Report'!$A$9:$D$314,4,FALSE)</f>
        <v>3.0942035888757258E-4</v>
      </c>
      <c r="D153" s="11"/>
      <c r="E153" s="241">
        <f>VLOOKUP(A153,'Contribution Allocation_Rep 23'!$A$9:$D$312,4,FALSE)</f>
        <v>3.0684693485387351E-4</v>
      </c>
      <c r="F153" s="123"/>
      <c r="G153" s="134">
        <f t="shared" si="20"/>
        <v>8299</v>
      </c>
      <c r="H153" s="240">
        <f t="shared" si="21"/>
        <v>1399</v>
      </c>
      <c r="I153" s="120">
        <f t="shared" si="28"/>
        <v>6900</v>
      </c>
      <c r="J153" s="120"/>
      <c r="K153" s="117"/>
      <c r="L153" s="243">
        <f t="shared" si="22"/>
        <v>1399</v>
      </c>
      <c r="M153" s="243">
        <f t="shared" si="23"/>
        <v>1399</v>
      </c>
      <c r="N153" s="243">
        <f t="shared" si="24"/>
        <v>1399</v>
      </c>
      <c r="O153" s="243">
        <f t="shared" si="25"/>
        <v>1399</v>
      </c>
      <c r="P153" s="244">
        <f t="shared" si="26"/>
        <v>1304</v>
      </c>
      <c r="Q153" s="141">
        <f t="shared" si="27"/>
        <v>0</v>
      </c>
    </row>
    <row r="154" spans="1:17">
      <c r="A154" s="193">
        <v>9028</v>
      </c>
      <c r="B154" s="194" t="s">
        <v>146</v>
      </c>
      <c r="C154" s="200">
        <f>VLOOKUP(A154,'Contribution Allocation_Report'!$A$9:$D$314,4,FALSE)</f>
        <v>2.5451332047656986E-4</v>
      </c>
      <c r="D154" s="11"/>
      <c r="E154" s="241">
        <f>VLOOKUP(A154,'Contribution Allocation_Rep 23'!$A$9:$D$312,4,FALSE)</f>
        <v>2.7897953746423674E-4</v>
      </c>
      <c r="F154" s="123"/>
      <c r="G154" s="134">
        <f t="shared" si="20"/>
        <v>-78898</v>
      </c>
      <c r="H154" s="240">
        <f t="shared" si="21"/>
        <v>-13305</v>
      </c>
      <c r="I154" s="120">
        <f t="shared" si="28"/>
        <v>-65593</v>
      </c>
      <c r="J154" s="120"/>
      <c r="K154" s="117"/>
      <c r="L154" s="243">
        <f t="shared" si="22"/>
        <v>-13305</v>
      </c>
      <c r="M154" s="243">
        <f t="shared" si="23"/>
        <v>-13305</v>
      </c>
      <c r="N154" s="243">
        <f t="shared" si="24"/>
        <v>-13305</v>
      </c>
      <c r="O154" s="243">
        <f t="shared" si="25"/>
        <v>-13305</v>
      </c>
      <c r="P154" s="244">
        <f t="shared" si="26"/>
        <v>-12373</v>
      </c>
      <c r="Q154" s="141">
        <f t="shared" si="27"/>
        <v>0</v>
      </c>
    </row>
    <row r="155" spans="1:17">
      <c r="A155" s="298">
        <v>17424</v>
      </c>
      <c r="B155" s="299" t="s">
        <v>147</v>
      </c>
      <c r="C155" s="224">
        <f>VLOOKUP(A155,'Contribution Allocation_Report'!$A$9:$D$314,4,FALSE)</f>
        <v>5.4422587635947822E-4</v>
      </c>
      <c r="D155" s="11"/>
      <c r="E155" s="241">
        <f>VLOOKUP(A155,'Contribution Allocation_Rep 23'!$A$9:$D$312,4,FALSE)</f>
        <v>5.571296881014009E-4</v>
      </c>
      <c r="F155" s="123"/>
      <c r="G155" s="134">
        <f t="shared" si="20"/>
        <v>-41612</v>
      </c>
      <c r="H155" s="240">
        <f t="shared" si="21"/>
        <v>-7017</v>
      </c>
      <c r="I155" s="120">
        <f t="shared" si="28"/>
        <v>-34595</v>
      </c>
      <c r="J155" s="120"/>
      <c r="K155" s="117"/>
      <c r="L155" s="243">
        <f t="shared" si="22"/>
        <v>-7017</v>
      </c>
      <c r="M155" s="243">
        <f t="shared" si="23"/>
        <v>-7017</v>
      </c>
      <c r="N155" s="243">
        <f t="shared" si="24"/>
        <v>-7017</v>
      </c>
      <c r="O155" s="243">
        <f t="shared" si="25"/>
        <v>-7017</v>
      </c>
      <c r="P155" s="244">
        <f t="shared" si="26"/>
        <v>-6527</v>
      </c>
      <c r="Q155" s="141">
        <f t="shared" si="27"/>
        <v>0</v>
      </c>
    </row>
    <row r="156" spans="1:17">
      <c r="A156" s="193">
        <v>3200</v>
      </c>
      <c r="B156" s="194" t="s">
        <v>148</v>
      </c>
      <c r="C156" s="200">
        <f>VLOOKUP(A156,'Contribution Allocation_Report'!$A$9:$D$314,4,FALSE)</f>
        <v>1.779920828180613E-3</v>
      </c>
      <c r="D156" s="11"/>
      <c r="E156" s="241">
        <f>VLOOKUP(A156,'Contribution Allocation_Rep 23'!$A$9:$D$312,4,FALSE)</f>
        <v>1.8943980865225242E-3</v>
      </c>
      <c r="F156" s="123"/>
      <c r="G156" s="134">
        <f t="shared" si="20"/>
        <v>-369163</v>
      </c>
      <c r="H156" s="240">
        <f t="shared" si="21"/>
        <v>-62253</v>
      </c>
      <c r="I156" s="120">
        <f t="shared" si="28"/>
        <v>-306910</v>
      </c>
      <c r="J156" s="120"/>
      <c r="K156" s="117"/>
      <c r="L156" s="243">
        <f t="shared" si="22"/>
        <v>-62253</v>
      </c>
      <c r="M156" s="243">
        <f t="shared" si="23"/>
        <v>-62253</v>
      </c>
      <c r="N156" s="243">
        <f t="shared" si="24"/>
        <v>-62253</v>
      </c>
      <c r="O156" s="243">
        <f t="shared" si="25"/>
        <v>-62253</v>
      </c>
      <c r="P156" s="244">
        <f t="shared" si="26"/>
        <v>-57898</v>
      </c>
      <c r="Q156" s="141">
        <f t="shared" si="27"/>
        <v>0</v>
      </c>
    </row>
    <row r="157" spans="1:17">
      <c r="A157" s="195">
        <v>2365</v>
      </c>
      <c r="B157" s="196" t="s">
        <v>149</v>
      </c>
      <c r="C157" s="201">
        <f>VLOOKUP(A157,'Contribution Allocation_Report'!$A$9:$D$314,4,FALSE)</f>
        <v>2.117293290134562E-4</v>
      </c>
      <c r="D157" s="11"/>
      <c r="E157" s="241">
        <f>VLOOKUP(A157,'Contribution Allocation_Rep 23'!$A$9:$D$312,4,FALSE)</f>
        <v>2.2686785356112207E-4</v>
      </c>
      <c r="F157" s="123"/>
      <c r="G157" s="134">
        <f t="shared" si="20"/>
        <v>-48818</v>
      </c>
      <c r="H157" s="240">
        <f t="shared" si="21"/>
        <v>-8232</v>
      </c>
      <c r="I157" s="120">
        <f t="shared" si="28"/>
        <v>-40586</v>
      </c>
      <c r="J157" s="120"/>
      <c r="K157" s="117"/>
      <c r="L157" s="243">
        <f t="shared" si="22"/>
        <v>-8232</v>
      </c>
      <c r="M157" s="243">
        <f t="shared" si="23"/>
        <v>-8232</v>
      </c>
      <c r="N157" s="243">
        <f t="shared" si="24"/>
        <v>-8232</v>
      </c>
      <c r="O157" s="243">
        <f t="shared" si="25"/>
        <v>-8232</v>
      </c>
      <c r="P157" s="244">
        <f t="shared" si="26"/>
        <v>-7658</v>
      </c>
      <c r="Q157" s="141">
        <f t="shared" si="27"/>
        <v>0</v>
      </c>
    </row>
    <row r="158" spans="1:17">
      <c r="A158" s="193">
        <v>5014</v>
      </c>
      <c r="B158" s="194" t="s">
        <v>150</v>
      </c>
      <c r="C158" s="200">
        <f>VLOOKUP(A158,'Contribution Allocation_Report'!$A$9:$D$314,4,FALSE)</f>
        <v>3.8413727258971783E-4</v>
      </c>
      <c r="D158" s="11"/>
      <c r="E158" s="241">
        <f>VLOOKUP(A158,'Contribution Allocation_Rep 23'!$A$9:$D$312,4,FALSE)</f>
        <v>3.9975572026130292E-4</v>
      </c>
      <c r="F158" s="123"/>
      <c r="G158" s="134">
        <f t="shared" si="20"/>
        <v>-50366</v>
      </c>
      <c r="H158" s="240">
        <f t="shared" si="21"/>
        <v>-8493</v>
      </c>
      <c r="I158" s="120">
        <f t="shared" si="28"/>
        <v>-41873</v>
      </c>
      <c r="J158" s="120"/>
      <c r="K158" s="117"/>
      <c r="L158" s="243">
        <f t="shared" si="22"/>
        <v>-8493</v>
      </c>
      <c r="M158" s="243">
        <f t="shared" si="23"/>
        <v>-8493</v>
      </c>
      <c r="N158" s="243">
        <f t="shared" si="24"/>
        <v>-8493</v>
      </c>
      <c r="O158" s="243">
        <f t="shared" si="25"/>
        <v>-8493</v>
      </c>
      <c r="P158" s="244">
        <f t="shared" si="26"/>
        <v>-7901</v>
      </c>
      <c r="Q158" s="141">
        <f t="shared" si="27"/>
        <v>0</v>
      </c>
    </row>
    <row r="159" spans="1:17">
      <c r="A159" s="195">
        <v>17127</v>
      </c>
      <c r="B159" s="196" t="s">
        <v>151</v>
      </c>
      <c r="C159" s="201">
        <f>VLOOKUP(A159,'Contribution Allocation_Report'!$A$9:$D$314,4,FALSE)</f>
        <v>4.3433328239402788E-4</v>
      </c>
      <c r="D159" s="11"/>
      <c r="E159" s="241">
        <f>VLOOKUP(A159,'Contribution Allocation_Rep 23'!$A$9:$D$312,4,FALSE)</f>
        <v>4.574548522625904E-4</v>
      </c>
      <c r="F159" s="123"/>
      <c r="G159" s="134">
        <f t="shared" si="20"/>
        <v>-74562</v>
      </c>
      <c r="H159" s="240">
        <f t="shared" si="21"/>
        <v>-12574</v>
      </c>
      <c r="I159" s="120">
        <f t="shared" si="28"/>
        <v>-61988</v>
      </c>
      <c r="J159" s="120"/>
      <c r="K159" s="117"/>
      <c r="L159" s="243">
        <f t="shared" si="22"/>
        <v>-12574</v>
      </c>
      <c r="M159" s="243">
        <f t="shared" si="23"/>
        <v>-12574</v>
      </c>
      <c r="N159" s="243">
        <f t="shared" si="24"/>
        <v>-12574</v>
      </c>
      <c r="O159" s="243">
        <f t="shared" si="25"/>
        <v>-12574</v>
      </c>
      <c r="P159" s="244">
        <f t="shared" si="26"/>
        <v>-11692</v>
      </c>
      <c r="Q159" s="141">
        <f t="shared" si="27"/>
        <v>0</v>
      </c>
    </row>
    <row r="160" spans="1:17">
      <c r="A160" s="193">
        <v>10141</v>
      </c>
      <c r="B160" s="194" t="s">
        <v>152</v>
      </c>
      <c r="C160" s="200">
        <f>VLOOKUP(A160,'Contribution Allocation_Report'!$A$9:$D$314,4,FALSE)</f>
        <v>5.5868873418202464E-4</v>
      </c>
      <c r="D160" s="11"/>
      <c r="E160" s="241">
        <f>VLOOKUP(A160,'Contribution Allocation_Rep 23'!$A$9:$D$312,4,FALSE)</f>
        <v>9.6881111789724143E-4</v>
      </c>
      <c r="F160" s="123"/>
      <c r="G160" s="134">
        <f t="shared" si="20"/>
        <v>-1322550</v>
      </c>
      <c r="H160" s="240">
        <f t="shared" si="21"/>
        <v>-223027</v>
      </c>
      <c r="I160" s="120">
        <f t="shared" si="28"/>
        <v>-1099523</v>
      </c>
      <c r="J160" s="120"/>
      <c r="K160" s="117"/>
      <c r="L160" s="243">
        <f t="shared" si="22"/>
        <v>-223027</v>
      </c>
      <c r="M160" s="243">
        <f t="shared" si="23"/>
        <v>-223027</v>
      </c>
      <c r="N160" s="243">
        <f t="shared" si="24"/>
        <v>-223027</v>
      </c>
      <c r="O160" s="243">
        <f t="shared" si="25"/>
        <v>-223027</v>
      </c>
      <c r="P160" s="244">
        <f t="shared" si="26"/>
        <v>-207415</v>
      </c>
      <c r="Q160" s="141">
        <f t="shared" si="27"/>
        <v>0</v>
      </c>
    </row>
    <row r="161" spans="1:17">
      <c r="A161" s="195">
        <v>13369</v>
      </c>
      <c r="B161" s="196" t="s">
        <v>153</v>
      </c>
      <c r="C161" s="201">
        <f>VLOOKUP(A161,'Contribution Allocation_Report'!$A$9:$D$314,4,FALSE)</f>
        <v>1.4179410934710395E-4</v>
      </c>
      <c r="D161" s="11"/>
      <c r="E161" s="241">
        <f>VLOOKUP(A161,'Contribution Allocation_Rep 23'!$A$9:$D$312,4,FALSE)</f>
        <v>1.4335296526874565E-4</v>
      </c>
      <c r="F161" s="123"/>
      <c r="G161" s="134">
        <f t="shared" si="20"/>
        <v>-5027</v>
      </c>
      <c r="H161" s="240">
        <f t="shared" si="21"/>
        <v>-848</v>
      </c>
      <c r="I161" s="120">
        <f t="shared" si="28"/>
        <v>-4179</v>
      </c>
      <c r="J161" s="120"/>
      <c r="K161" s="117"/>
      <c r="L161" s="243">
        <f t="shared" si="22"/>
        <v>-848</v>
      </c>
      <c r="M161" s="243">
        <f t="shared" si="23"/>
        <v>-848</v>
      </c>
      <c r="N161" s="243">
        <f t="shared" si="24"/>
        <v>-848</v>
      </c>
      <c r="O161" s="243">
        <f t="shared" si="25"/>
        <v>-848</v>
      </c>
      <c r="P161" s="244">
        <f t="shared" si="26"/>
        <v>-787</v>
      </c>
      <c r="Q161" s="141">
        <f t="shared" si="27"/>
        <v>0</v>
      </c>
    </row>
    <row r="162" spans="1:17">
      <c r="A162" s="193">
        <v>4570</v>
      </c>
      <c r="B162" s="194" t="s">
        <v>400</v>
      </c>
      <c r="C162" s="200">
        <f>VLOOKUP(A162,'Contribution Allocation_Report'!$A$9:$D$314,4,FALSE)</f>
        <v>1.5173045385005318E-3</v>
      </c>
      <c r="D162" s="11"/>
      <c r="E162" s="241">
        <f>VLOOKUP(A162,'Contribution Allocation_Rep 23'!$A$9:$D$312,4,FALSE)</f>
        <v>1.4677178507381513E-3</v>
      </c>
      <c r="F162" s="123"/>
      <c r="G162" s="134">
        <f t="shared" si="20"/>
        <v>159906</v>
      </c>
      <c r="H162" s="240">
        <f t="shared" si="21"/>
        <v>26966</v>
      </c>
      <c r="I162" s="120">
        <f t="shared" si="28"/>
        <v>132940</v>
      </c>
      <c r="J162" s="120"/>
      <c r="K162" s="117"/>
      <c r="L162" s="243">
        <f t="shared" si="22"/>
        <v>26966</v>
      </c>
      <c r="M162" s="243">
        <f t="shared" si="23"/>
        <v>26966</v>
      </c>
      <c r="N162" s="243">
        <f t="shared" si="24"/>
        <v>26966</v>
      </c>
      <c r="O162" s="243">
        <f t="shared" si="25"/>
        <v>26966</v>
      </c>
      <c r="P162" s="244">
        <f t="shared" si="26"/>
        <v>25076</v>
      </c>
      <c r="Q162" s="141">
        <f t="shared" si="27"/>
        <v>0</v>
      </c>
    </row>
    <row r="163" spans="1:17">
      <c r="A163" s="195">
        <v>2425</v>
      </c>
      <c r="B163" s="196" t="s">
        <v>154</v>
      </c>
      <c r="C163" s="201">
        <f>VLOOKUP(A163,'Contribution Allocation_Report'!$A$9:$D$314,4,FALSE)</f>
        <v>2.5248993368999538E-3</v>
      </c>
      <c r="D163" s="11"/>
      <c r="E163" s="241">
        <f>VLOOKUP(A163,'Contribution Allocation_Rep 23'!$A$9:$D$312,4,FALSE)</f>
        <v>3.0477346778619223E-3</v>
      </c>
      <c r="F163" s="123"/>
      <c r="G163" s="134">
        <f t="shared" si="20"/>
        <v>-1686023</v>
      </c>
      <c r="H163" s="240">
        <f t="shared" si="21"/>
        <v>-284321</v>
      </c>
      <c r="I163" s="120">
        <f t="shared" si="28"/>
        <v>-1401702</v>
      </c>
      <c r="J163" s="120"/>
      <c r="K163" s="117"/>
      <c r="L163" s="243">
        <f t="shared" si="22"/>
        <v>-284321</v>
      </c>
      <c r="M163" s="243">
        <f t="shared" si="23"/>
        <v>-284321</v>
      </c>
      <c r="N163" s="243">
        <f t="shared" si="24"/>
        <v>-284321</v>
      </c>
      <c r="O163" s="243">
        <f t="shared" si="25"/>
        <v>-284321</v>
      </c>
      <c r="P163" s="244">
        <f t="shared" si="26"/>
        <v>-264418</v>
      </c>
      <c r="Q163" s="141">
        <f t="shared" si="27"/>
        <v>0</v>
      </c>
    </row>
    <row r="164" spans="1:17">
      <c r="A164" s="193">
        <v>1306</v>
      </c>
      <c r="B164" s="194" t="s">
        <v>155</v>
      </c>
      <c r="C164" s="200">
        <f>VLOOKUP(A164,'Contribution Allocation_Report'!$A$9:$D$314,4,FALSE)</f>
        <v>4.2753369777170154E-4</v>
      </c>
      <c r="D164" s="11"/>
      <c r="E164" s="241">
        <f>VLOOKUP(A164,'Contribution Allocation_Rep 23'!$A$9:$D$312,4,FALSE)</f>
        <v>4.520245511421787E-4</v>
      </c>
      <c r="F164" s="123"/>
      <c r="G164" s="134">
        <f t="shared" si="20"/>
        <v>-78977</v>
      </c>
      <c r="H164" s="240">
        <f t="shared" si="21"/>
        <v>-13318</v>
      </c>
      <c r="I164" s="120">
        <f t="shared" si="28"/>
        <v>-65659</v>
      </c>
      <c r="J164" s="120"/>
      <c r="K164" s="117"/>
      <c r="L164" s="243">
        <f t="shared" si="22"/>
        <v>-13318</v>
      </c>
      <c r="M164" s="243">
        <f t="shared" si="23"/>
        <v>-13318</v>
      </c>
      <c r="N164" s="243">
        <f t="shared" si="24"/>
        <v>-13318</v>
      </c>
      <c r="O164" s="243">
        <f t="shared" si="25"/>
        <v>-13318</v>
      </c>
      <c r="P164" s="244">
        <f t="shared" si="26"/>
        <v>-12387</v>
      </c>
      <c r="Q164" s="141">
        <f t="shared" si="27"/>
        <v>0</v>
      </c>
    </row>
    <row r="165" spans="1:17">
      <c r="A165" s="195">
        <v>2351</v>
      </c>
      <c r="B165" s="196" t="s">
        <v>156</v>
      </c>
      <c r="C165" s="201">
        <f>VLOOKUP(A165,'Contribution Allocation_Report'!$A$9:$D$314,4,FALSE)</f>
        <v>4.6978377265939001E-4</v>
      </c>
      <c r="D165" s="11"/>
      <c r="E165" s="241">
        <f>VLOOKUP(A165,'Contribution Allocation_Rep 23'!$A$9:$D$312,4,FALSE)</f>
        <v>4.879588267235525E-4</v>
      </c>
      <c r="F165" s="123"/>
      <c r="G165" s="134">
        <f t="shared" si="20"/>
        <v>-58610</v>
      </c>
      <c r="H165" s="240">
        <f t="shared" si="21"/>
        <v>-9884</v>
      </c>
      <c r="I165" s="120">
        <f t="shared" si="28"/>
        <v>-48726</v>
      </c>
      <c r="J165" s="120"/>
      <c r="K165" s="117"/>
      <c r="L165" s="243">
        <f t="shared" si="22"/>
        <v>-9884</v>
      </c>
      <c r="M165" s="243">
        <f t="shared" si="23"/>
        <v>-9884</v>
      </c>
      <c r="N165" s="243">
        <f t="shared" si="24"/>
        <v>-9884</v>
      </c>
      <c r="O165" s="243">
        <f t="shared" si="25"/>
        <v>-9884</v>
      </c>
      <c r="P165" s="244">
        <f t="shared" si="26"/>
        <v>-9190</v>
      </c>
      <c r="Q165" s="141">
        <f t="shared" si="27"/>
        <v>0</v>
      </c>
    </row>
    <row r="166" spans="1:17">
      <c r="A166" s="193">
        <v>2334</v>
      </c>
      <c r="B166" s="194" t="s">
        <v>157</v>
      </c>
      <c r="C166" s="200">
        <f>VLOOKUP(A166,'Contribution Allocation_Report'!$A$9:$D$314,4,FALSE)</f>
        <v>3.2794255302621912E-4</v>
      </c>
      <c r="D166" s="11"/>
      <c r="E166" s="241">
        <f>VLOOKUP(A166,'Contribution Allocation_Rep 23'!$A$9:$D$312,4,FALSE)</f>
        <v>3.3410320510777265E-4</v>
      </c>
      <c r="F166" s="123"/>
      <c r="G166" s="134">
        <f t="shared" si="20"/>
        <v>-19867</v>
      </c>
      <c r="H166" s="240">
        <f t="shared" si="21"/>
        <v>-3350</v>
      </c>
      <c r="I166" s="120">
        <f t="shared" si="28"/>
        <v>-16517</v>
      </c>
      <c r="J166" s="120"/>
      <c r="K166" s="117"/>
      <c r="L166" s="243">
        <f t="shared" si="22"/>
        <v>-3350</v>
      </c>
      <c r="M166" s="243">
        <f t="shared" si="23"/>
        <v>-3350</v>
      </c>
      <c r="N166" s="243">
        <f t="shared" si="24"/>
        <v>-3350</v>
      </c>
      <c r="O166" s="243">
        <f t="shared" si="25"/>
        <v>-3350</v>
      </c>
      <c r="P166" s="244">
        <f t="shared" si="26"/>
        <v>-3117</v>
      </c>
      <c r="Q166" s="141">
        <f t="shared" si="27"/>
        <v>0</v>
      </c>
    </row>
    <row r="167" spans="1:17">
      <c r="A167" s="195">
        <v>30089</v>
      </c>
      <c r="B167" s="196" t="s">
        <v>158</v>
      </c>
      <c r="C167" s="201">
        <f>VLOOKUP(A167,'Contribution Allocation_Report'!$A$9:$D$314,4,FALSE)</f>
        <v>8.2234930186992272E-4</v>
      </c>
      <c r="D167" s="11"/>
      <c r="E167" s="241">
        <f>VLOOKUP(A167,'Contribution Allocation_Rep 23'!$A$9:$D$312,4,FALSE)</f>
        <v>9.3897065289793734E-4</v>
      </c>
      <c r="F167" s="123"/>
      <c r="G167" s="134">
        <f t="shared" si="20"/>
        <v>-376077</v>
      </c>
      <c r="H167" s="240">
        <f t="shared" si="21"/>
        <v>-63419</v>
      </c>
      <c r="I167" s="120">
        <f t="shared" si="28"/>
        <v>-312658</v>
      </c>
      <c r="J167" s="120"/>
      <c r="K167" s="117"/>
      <c r="L167" s="243">
        <f t="shared" si="22"/>
        <v>-63419</v>
      </c>
      <c r="M167" s="243">
        <f t="shared" si="23"/>
        <v>-63419</v>
      </c>
      <c r="N167" s="243">
        <f t="shared" si="24"/>
        <v>-63419</v>
      </c>
      <c r="O167" s="243">
        <f t="shared" si="25"/>
        <v>-63419</v>
      </c>
      <c r="P167" s="244">
        <f t="shared" si="26"/>
        <v>-58982</v>
      </c>
      <c r="Q167" s="141">
        <f t="shared" si="27"/>
        <v>0</v>
      </c>
    </row>
    <row r="168" spans="1:17">
      <c r="A168" s="193">
        <v>9324</v>
      </c>
      <c r="B168" s="194" t="s">
        <v>159</v>
      </c>
      <c r="C168" s="200">
        <f>VLOOKUP(A168,'Contribution Allocation_Report'!$A$9:$D$314,4,FALSE)</f>
        <v>9.9120041884813136E-5</v>
      </c>
      <c r="D168" s="11"/>
      <c r="E168" s="241">
        <f>VLOOKUP(A168,'Contribution Allocation_Rep 23'!$A$9:$D$312,4,FALSE)</f>
        <v>1.2994308983313094E-4</v>
      </c>
      <c r="F168" s="123"/>
      <c r="G168" s="134">
        <f t="shared" si="20"/>
        <v>-99397</v>
      </c>
      <c r="H168" s="240">
        <f t="shared" si="21"/>
        <v>-16762</v>
      </c>
      <c r="I168" s="120">
        <f t="shared" si="28"/>
        <v>-82635</v>
      </c>
      <c r="J168" s="120"/>
      <c r="K168" s="117"/>
      <c r="L168" s="243">
        <f t="shared" si="22"/>
        <v>-16762</v>
      </c>
      <c r="M168" s="243">
        <f t="shared" si="23"/>
        <v>-16762</v>
      </c>
      <c r="N168" s="243">
        <f t="shared" si="24"/>
        <v>-16762</v>
      </c>
      <c r="O168" s="243">
        <f t="shared" si="25"/>
        <v>-16762</v>
      </c>
      <c r="P168" s="244">
        <f t="shared" si="26"/>
        <v>-15587</v>
      </c>
      <c r="Q168" s="141">
        <f t="shared" si="27"/>
        <v>0</v>
      </c>
    </row>
    <row r="169" spans="1:17">
      <c r="A169" s="195">
        <v>22066</v>
      </c>
      <c r="B169" s="196" t="s">
        <v>160</v>
      </c>
      <c r="C169" s="201">
        <f>VLOOKUP(A169,'Contribution Allocation_Report'!$A$9:$D$314,4,FALSE)</f>
        <v>3.5010715744927356E-3</v>
      </c>
      <c r="D169" s="11"/>
      <c r="E169" s="241">
        <f>VLOOKUP(A169,'Contribution Allocation_Rep 23'!$A$9:$D$312,4,FALSE)</f>
        <v>3.4805261850036715E-3</v>
      </c>
      <c r="F169" s="123"/>
      <c r="G169" s="134">
        <f t="shared" si="20"/>
        <v>66254</v>
      </c>
      <c r="H169" s="240">
        <f t="shared" si="21"/>
        <v>11173</v>
      </c>
      <c r="I169" s="120">
        <f t="shared" si="28"/>
        <v>55081</v>
      </c>
      <c r="J169" s="120"/>
      <c r="K169" s="117"/>
      <c r="L169" s="243">
        <f t="shared" si="22"/>
        <v>11173</v>
      </c>
      <c r="M169" s="243">
        <f t="shared" si="23"/>
        <v>11173</v>
      </c>
      <c r="N169" s="243">
        <f t="shared" si="24"/>
        <v>11173</v>
      </c>
      <c r="O169" s="243">
        <f t="shared" si="25"/>
        <v>11173</v>
      </c>
      <c r="P169" s="244">
        <f t="shared" si="26"/>
        <v>10389</v>
      </c>
      <c r="Q169" s="141">
        <f t="shared" si="27"/>
        <v>0</v>
      </c>
    </row>
    <row r="170" spans="1:17">
      <c r="A170" s="193">
        <v>16356</v>
      </c>
      <c r="B170" s="194" t="s">
        <v>161</v>
      </c>
      <c r="C170" s="200">
        <f>VLOOKUP(A170,'Contribution Allocation_Report'!$A$9:$D$314,4,FALSE)</f>
        <v>2.1683294333737322E-4</v>
      </c>
      <c r="D170" s="11"/>
      <c r="E170" s="241">
        <f>VLOOKUP(A170,'Contribution Allocation_Rep 23'!$A$9:$D$312,4,FALSE)</f>
        <v>2.1168570943186818E-4</v>
      </c>
      <c r="F170" s="123"/>
      <c r="G170" s="134">
        <f t="shared" si="20"/>
        <v>16599</v>
      </c>
      <c r="H170" s="240">
        <f t="shared" si="21"/>
        <v>2799</v>
      </c>
      <c r="I170" s="120">
        <f t="shared" si="28"/>
        <v>13800</v>
      </c>
      <c r="J170" s="120"/>
      <c r="K170" s="117"/>
      <c r="L170" s="243">
        <f t="shared" si="22"/>
        <v>2799</v>
      </c>
      <c r="M170" s="243">
        <f t="shared" si="23"/>
        <v>2799</v>
      </c>
      <c r="N170" s="243">
        <f t="shared" si="24"/>
        <v>2799</v>
      </c>
      <c r="O170" s="243">
        <f t="shared" si="25"/>
        <v>2799</v>
      </c>
      <c r="P170" s="244">
        <f t="shared" si="26"/>
        <v>2604</v>
      </c>
      <c r="Q170" s="141">
        <f t="shared" si="27"/>
        <v>0</v>
      </c>
    </row>
    <row r="171" spans="1:17">
      <c r="A171" s="195">
        <v>31091</v>
      </c>
      <c r="B171" s="196" t="s">
        <v>162</v>
      </c>
      <c r="C171" s="201">
        <f>VLOOKUP(A171,'Contribution Allocation_Report'!$A$9:$D$314,4,FALSE)</f>
        <v>2.0433301410094874E-4</v>
      </c>
      <c r="D171" s="11"/>
      <c r="E171" s="241">
        <f>VLOOKUP(A171,'Contribution Allocation_Rep 23'!$A$9:$D$312,4,FALSE)</f>
        <v>2.1054202864927344E-4</v>
      </c>
      <c r="F171" s="123"/>
      <c r="G171" s="134">
        <f t="shared" si="20"/>
        <v>-20023</v>
      </c>
      <c r="H171" s="240">
        <f t="shared" si="21"/>
        <v>-3377</v>
      </c>
      <c r="I171" s="120">
        <f t="shared" si="28"/>
        <v>-16646</v>
      </c>
      <c r="J171" s="120"/>
      <c r="K171" s="117"/>
      <c r="L171" s="243">
        <f t="shared" si="22"/>
        <v>-3377</v>
      </c>
      <c r="M171" s="243">
        <f t="shared" si="23"/>
        <v>-3377</v>
      </c>
      <c r="N171" s="243">
        <f t="shared" si="24"/>
        <v>-3377</v>
      </c>
      <c r="O171" s="243">
        <f t="shared" si="25"/>
        <v>-3377</v>
      </c>
      <c r="P171" s="244">
        <f t="shared" si="26"/>
        <v>-3138</v>
      </c>
      <c r="Q171" s="141">
        <f t="shared" si="27"/>
        <v>0</v>
      </c>
    </row>
    <row r="172" spans="1:17">
      <c r="A172" s="193">
        <v>2342</v>
      </c>
      <c r="B172" s="194" t="s">
        <v>163</v>
      </c>
      <c r="C172" s="200">
        <f>VLOOKUP(A172,'Contribution Allocation_Report'!$A$9:$D$314,4,FALSE)</f>
        <v>3.306356910463784E-4</v>
      </c>
      <c r="D172" s="11"/>
      <c r="E172" s="241">
        <f>VLOOKUP(A172,'Contribution Allocation_Rep 23'!$A$9:$D$312,4,FALSE)</f>
        <v>3.7037796580762883E-4</v>
      </c>
      <c r="F172" s="123"/>
      <c r="G172" s="134">
        <f t="shared" si="20"/>
        <v>-128160</v>
      </c>
      <c r="H172" s="240">
        <f t="shared" si="21"/>
        <v>-21612</v>
      </c>
      <c r="I172" s="120">
        <f t="shared" si="28"/>
        <v>-106548</v>
      </c>
      <c r="J172" s="120"/>
      <c r="K172" s="117"/>
      <c r="L172" s="243">
        <f t="shared" si="22"/>
        <v>-21612</v>
      </c>
      <c r="M172" s="243">
        <f t="shared" si="23"/>
        <v>-21612</v>
      </c>
      <c r="N172" s="243">
        <f t="shared" si="24"/>
        <v>-21612</v>
      </c>
      <c r="O172" s="243">
        <f t="shared" si="25"/>
        <v>-21612</v>
      </c>
      <c r="P172" s="244">
        <f t="shared" si="26"/>
        <v>-20100</v>
      </c>
      <c r="Q172" s="141">
        <f t="shared" si="27"/>
        <v>0</v>
      </c>
    </row>
    <row r="173" spans="1:17">
      <c r="A173" s="195">
        <v>22067</v>
      </c>
      <c r="B173" s="196" t="s">
        <v>164</v>
      </c>
      <c r="C173" s="201">
        <f>VLOOKUP(A173,'Contribution Allocation_Report'!$A$9:$D$314,4,FALSE)</f>
        <v>4.7397658811934644E-4</v>
      </c>
      <c r="D173" s="11"/>
      <c r="E173" s="241">
        <f>VLOOKUP(A173,'Contribution Allocation_Rep 23'!$A$9:$D$312,4,FALSE)</f>
        <v>5.3055438808446661E-4</v>
      </c>
      <c r="F173" s="123"/>
      <c r="G173" s="134">
        <f t="shared" si="20"/>
        <v>-182450</v>
      </c>
      <c r="H173" s="240">
        <f t="shared" si="21"/>
        <v>-30767</v>
      </c>
      <c r="I173" s="120">
        <f t="shared" si="28"/>
        <v>-151683</v>
      </c>
      <c r="J173" s="120"/>
      <c r="K173" s="117"/>
      <c r="L173" s="243">
        <f t="shared" si="22"/>
        <v>-30767</v>
      </c>
      <c r="M173" s="243">
        <f t="shared" si="23"/>
        <v>-30767</v>
      </c>
      <c r="N173" s="243">
        <f t="shared" si="24"/>
        <v>-30767</v>
      </c>
      <c r="O173" s="243">
        <f t="shared" si="25"/>
        <v>-30767</v>
      </c>
      <c r="P173" s="244">
        <f t="shared" si="26"/>
        <v>-28615</v>
      </c>
      <c r="Q173" s="141">
        <f t="shared" si="27"/>
        <v>0</v>
      </c>
    </row>
    <row r="174" spans="1:17">
      <c r="A174" s="193">
        <v>32112</v>
      </c>
      <c r="B174" s="194" t="s">
        <v>165</v>
      </c>
      <c r="C174" s="200">
        <f>VLOOKUP(A174,'Contribution Allocation_Report'!$A$9:$D$314,4,FALSE)</f>
        <v>1.8319619908558778E-4</v>
      </c>
      <c r="D174" s="11"/>
      <c r="E174" s="241">
        <f>VLOOKUP(A174,'Contribution Allocation_Rep 23'!$A$9:$D$312,4,FALSE)</f>
        <v>2.1122299888623827E-4</v>
      </c>
      <c r="F174" s="123"/>
      <c r="G174" s="134">
        <f t="shared" si="20"/>
        <v>-90380</v>
      </c>
      <c r="H174" s="240">
        <f t="shared" si="21"/>
        <v>-15241</v>
      </c>
      <c r="I174" s="120">
        <f t="shared" si="28"/>
        <v>-75139</v>
      </c>
      <c r="J174" s="120"/>
      <c r="K174" s="117"/>
      <c r="L174" s="243">
        <f t="shared" si="22"/>
        <v>-15241</v>
      </c>
      <c r="M174" s="243">
        <f t="shared" si="23"/>
        <v>-15241</v>
      </c>
      <c r="N174" s="243">
        <f t="shared" si="24"/>
        <v>-15241</v>
      </c>
      <c r="O174" s="243">
        <f t="shared" si="25"/>
        <v>-15241</v>
      </c>
      <c r="P174" s="244">
        <f t="shared" si="26"/>
        <v>-14175</v>
      </c>
      <c r="Q174" s="141">
        <f t="shared" si="27"/>
        <v>0</v>
      </c>
    </row>
    <row r="175" spans="1:17">
      <c r="A175" s="195">
        <v>2354</v>
      </c>
      <c r="B175" s="196" t="s">
        <v>166</v>
      </c>
      <c r="C175" s="201">
        <f>VLOOKUP(A175,'Contribution Allocation_Report'!$A$9:$D$314,4,FALSE)</f>
        <v>7.3817892409701422E-4</v>
      </c>
      <c r="D175" s="11"/>
      <c r="E175" s="241">
        <f>VLOOKUP(A175,'Contribution Allocation_Rep 23'!$A$9:$D$312,4,FALSE)</f>
        <v>7.3546531669730025E-4</v>
      </c>
      <c r="F175" s="123"/>
      <c r="G175" s="134">
        <f t="shared" si="20"/>
        <v>8751</v>
      </c>
      <c r="H175" s="240">
        <f t="shared" si="21"/>
        <v>1476</v>
      </c>
      <c r="I175" s="120">
        <f t="shared" si="28"/>
        <v>7275</v>
      </c>
      <c r="J175" s="120"/>
      <c r="K175" s="117"/>
      <c r="L175" s="243">
        <f t="shared" si="22"/>
        <v>1476</v>
      </c>
      <c r="M175" s="243">
        <f t="shared" si="23"/>
        <v>1476</v>
      </c>
      <c r="N175" s="243">
        <f t="shared" si="24"/>
        <v>1476</v>
      </c>
      <c r="O175" s="243">
        <f t="shared" si="25"/>
        <v>1476</v>
      </c>
      <c r="P175" s="244">
        <f t="shared" si="26"/>
        <v>1371</v>
      </c>
      <c r="Q175" s="141">
        <f t="shared" si="27"/>
        <v>0</v>
      </c>
    </row>
    <row r="176" spans="1:17">
      <c r="A176" s="193">
        <v>2148</v>
      </c>
      <c r="B176" s="194" t="s">
        <v>167</v>
      </c>
      <c r="C176" s="200">
        <f>VLOOKUP(A176,'Contribution Allocation_Report'!$A$9:$D$314,4,FALSE)</f>
        <v>2.1647176447752678E-4</v>
      </c>
      <c r="D176" s="11"/>
      <c r="E176" s="241">
        <f>VLOOKUP(A176,'Contribution Allocation_Rep 23'!$A$9:$D$312,4,FALSE)</f>
        <v>2.1942083289277613E-4</v>
      </c>
      <c r="F176" s="123"/>
      <c r="G176" s="134">
        <f t="shared" si="20"/>
        <v>-9510</v>
      </c>
      <c r="H176" s="240">
        <f t="shared" si="21"/>
        <v>-1604</v>
      </c>
      <c r="I176" s="120">
        <f t="shared" si="28"/>
        <v>-7906</v>
      </c>
      <c r="J176" s="120"/>
      <c r="K176" s="117"/>
      <c r="L176" s="243">
        <f t="shared" si="22"/>
        <v>-1604</v>
      </c>
      <c r="M176" s="243">
        <f t="shared" si="23"/>
        <v>-1604</v>
      </c>
      <c r="N176" s="243">
        <f t="shared" si="24"/>
        <v>-1604</v>
      </c>
      <c r="O176" s="243">
        <f t="shared" si="25"/>
        <v>-1604</v>
      </c>
      <c r="P176" s="244">
        <f t="shared" si="26"/>
        <v>-1490</v>
      </c>
      <c r="Q176" s="141">
        <f t="shared" si="27"/>
        <v>0</v>
      </c>
    </row>
    <row r="177" spans="1:17">
      <c r="A177" s="195">
        <v>1418</v>
      </c>
      <c r="B177" s="196" t="s">
        <v>168</v>
      </c>
      <c r="C177" s="201">
        <f>VLOOKUP(A177,'Contribution Allocation_Report'!$A$9:$D$314,4,FALSE)</f>
        <v>9.9160085627970017E-4</v>
      </c>
      <c r="D177" s="11"/>
      <c r="E177" s="241">
        <f>VLOOKUP(A177,'Contribution Allocation_Rep 23'!$A$9:$D$312,4,FALSE)</f>
        <v>1.0040207713033834E-3</v>
      </c>
      <c r="F177" s="123"/>
      <c r="G177" s="134">
        <f t="shared" si="20"/>
        <v>-40051</v>
      </c>
      <c r="H177" s="240">
        <f t="shared" si="21"/>
        <v>-6754</v>
      </c>
      <c r="I177" s="120">
        <f t="shared" si="28"/>
        <v>-33297</v>
      </c>
      <c r="J177" s="120"/>
      <c r="K177" s="117"/>
      <c r="L177" s="243">
        <f t="shared" si="22"/>
        <v>-6754</v>
      </c>
      <c r="M177" s="243">
        <f t="shared" si="23"/>
        <v>-6754</v>
      </c>
      <c r="N177" s="243">
        <f t="shared" si="24"/>
        <v>-6754</v>
      </c>
      <c r="O177" s="243">
        <f t="shared" si="25"/>
        <v>-6754</v>
      </c>
      <c r="P177" s="244">
        <f t="shared" si="26"/>
        <v>-6281</v>
      </c>
      <c r="Q177" s="141">
        <f t="shared" si="27"/>
        <v>0</v>
      </c>
    </row>
    <row r="178" spans="1:17">
      <c r="A178" s="193">
        <v>12102</v>
      </c>
      <c r="B178" s="194" t="s">
        <v>169</v>
      </c>
      <c r="C178" s="200">
        <f>VLOOKUP(A178,'Contribution Allocation_Report'!$A$9:$D$314,4,FALSE)</f>
        <v>4.9559471322402453E-3</v>
      </c>
      <c r="D178" s="11"/>
      <c r="E178" s="241">
        <f>VLOOKUP(A178,'Contribution Allocation_Rep 23'!$A$9:$D$312,4,FALSE)</f>
        <v>5.5484581869127284E-3</v>
      </c>
      <c r="F178" s="123"/>
      <c r="G178" s="134">
        <f t="shared" si="20"/>
        <v>-1910711</v>
      </c>
      <c r="H178" s="240">
        <f t="shared" si="21"/>
        <v>-322211</v>
      </c>
      <c r="I178" s="120">
        <f t="shared" si="28"/>
        <v>-1588500</v>
      </c>
      <c r="J178" s="120"/>
      <c r="K178" s="117"/>
      <c r="L178" s="243">
        <f t="shared" si="22"/>
        <v>-322211</v>
      </c>
      <c r="M178" s="243">
        <f t="shared" si="23"/>
        <v>-322211</v>
      </c>
      <c r="N178" s="243">
        <f t="shared" si="24"/>
        <v>-322211</v>
      </c>
      <c r="O178" s="243">
        <f t="shared" si="25"/>
        <v>-322211</v>
      </c>
      <c r="P178" s="244">
        <f t="shared" si="26"/>
        <v>-299656</v>
      </c>
      <c r="Q178" s="141">
        <f t="shared" si="27"/>
        <v>0</v>
      </c>
    </row>
    <row r="179" spans="1:17">
      <c r="A179" s="195">
        <v>2414</v>
      </c>
      <c r="B179" s="196" t="s">
        <v>170</v>
      </c>
      <c r="C179" s="201">
        <f>VLOOKUP(A179,'Contribution Allocation_Report'!$A$9:$D$314,4,FALSE)</f>
        <v>5.0092367174962838E-4</v>
      </c>
      <c r="D179" s="11"/>
      <c r="E179" s="241">
        <f>VLOOKUP(A179,'Contribution Allocation_Rep 23'!$A$9:$D$312,4,FALSE)</f>
        <v>5.2677413023054654E-4</v>
      </c>
      <c r="F179" s="123"/>
      <c r="G179" s="134">
        <f t="shared" si="20"/>
        <v>-83362</v>
      </c>
      <c r="H179" s="240">
        <f t="shared" si="21"/>
        <v>-14058</v>
      </c>
      <c r="I179" s="120">
        <f t="shared" si="28"/>
        <v>-69304</v>
      </c>
      <c r="J179" s="120"/>
      <c r="K179" s="117"/>
      <c r="L179" s="243">
        <f t="shared" si="22"/>
        <v>-14058</v>
      </c>
      <c r="M179" s="243">
        <f t="shared" si="23"/>
        <v>-14058</v>
      </c>
      <c r="N179" s="243">
        <f t="shared" si="24"/>
        <v>-14058</v>
      </c>
      <c r="O179" s="243">
        <f t="shared" si="25"/>
        <v>-14058</v>
      </c>
      <c r="P179" s="244">
        <f t="shared" si="26"/>
        <v>-13072</v>
      </c>
      <c r="Q179" s="141">
        <f t="shared" si="27"/>
        <v>0</v>
      </c>
    </row>
    <row r="180" spans="1:17">
      <c r="A180" s="193">
        <v>6124</v>
      </c>
      <c r="B180" s="194" t="s">
        <v>171</v>
      </c>
      <c r="C180" s="200">
        <f>VLOOKUP(A180,'Contribution Allocation_Report'!$A$9:$D$314,4,FALSE)</f>
        <v>2.9642341613314201E-3</v>
      </c>
      <c r="D180" s="11"/>
      <c r="E180" s="241">
        <f>VLOOKUP(A180,'Contribution Allocation_Rep 23'!$A$9:$D$312,4,FALSE)</f>
        <v>2.5899568012561561E-3</v>
      </c>
      <c r="F180" s="123"/>
      <c r="G180" s="134">
        <f t="shared" si="20"/>
        <v>1206958</v>
      </c>
      <c r="H180" s="240">
        <f t="shared" si="21"/>
        <v>203534</v>
      </c>
      <c r="I180" s="120">
        <f t="shared" si="28"/>
        <v>1003424</v>
      </c>
      <c r="J180" s="120"/>
      <c r="K180" s="117"/>
      <c r="L180" s="243">
        <f t="shared" si="22"/>
        <v>203534</v>
      </c>
      <c r="M180" s="243">
        <f t="shared" si="23"/>
        <v>203534</v>
      </c>
      <c r="N180" s="243">
        <f t="shared" si="24"/>
        <v>203534</v>
      </c>
      <c r="O180" s="243">
        <f t="shared" si="25"/>
        <v>203534</v>
      </c>
      <c r="P180" s="244">
        <f t="shared" si="26"/>
        <v>189288</v>
      </c>
      <c r="Q180" s="141">
        <f t="shared" si="27"/>
        <v>0</v>
      </c>
    </row>
    <row r="181" spans="1:17">
      <c r="A181" s="195">
        <v>4097</v>
      </c>
      <c r="B181" s="196" t="s">
        <v>172</v>
      </c>
      <c r="C181" s="201">
        <f>VLOOKUP(A181,'Contribution Allocation_Report'!$A$9:$D$314,4,FALSE)</f>
        <v>2.8547341530831944E-3</v>
      </c>
      <c r="D181" s="11"/>
      <c r="E181" s="241">
        <f>VLOOKUP(A181,'Contribution Allocation_Rep 23'!$A$9:$D$312,4,FALSE)</f>
        <v>2.9550179609828674E-3</v>
      </c>
      <c r="F181" s="123"/>
      <c r="G181" s="134">
        <f t="shared" si="20"/>
        <v>-323392</v>
      </c>
      <c r="H181" s="240">
        <f t="shared" si="21"/>
        <v>-54535</v>
      </c>
      <c r="I181" s="120">
        <f t="shared" si="28"/>
        <v>-268857</v>
      </c>
      <c r="J181" s="120"/>
      <c r="K181" s="117"/>
      <c r="L181" s="243">
        <f t="shared" si="22"/>
        <v>-54535</v>
      </c>
      <c r="M181" s="243">
        <f t="shared" si="23"/>
        <v>-54535</v>
      </c>
      <c r="N181" s="243">
        <f t="shared" si="24"/>
        <v>-54535</v>
      </c>
      <c r="O181" s="243">
        <f t="shared" si="25"/>
        <v>-54535</v>
      </c>
      <c r="P181" s="244">
        <f t="shared" si="26"/>
        <v>-50717</v>
      </c>
      <c r="Q181" s="141">
        <f t="shared" si="27"/>
        <v>0</v>
      </c>
    </row>
    <row r="182" spans="1:17">
      <c r="A182" s="193">
        <v>1416</v>
      </c>
      <c r="B182" s="194" t="s">
        <v>173</v>
      </c>
      <c r="C182" s="200">
        <f>VLOOKUP(A182,'Contribution Allocation_Report'!$A$9:$D$314,4,FALSE)</f>
        <v>4.3046238722219544E-4</v>
      </c>
      <c r="D182" s="11"/>
      <c r="E182" s="241">
        <f>VLOOKUP(A182,'Contribution Allocation_Rep 23'!$A$9:$D$312,4,FALSE)</f>
        <v>4.1259812049944698E-4</v>
      </c>
      <c r="F182" s="123"/>
      <c r="G182" s="134">
        <f t="shared" si="20"/>
        <v>57608</v>
      </c>
      <c r="H182" s="240">
        <f t="shared" si="21"/>
        <v>9715</v>
      </c>
      <c r="I182" s="120">
        <f t="shared" si="28"/>
        <v>47893</v>
      </c>
      <c r="J182" s="120"/>
      <c r="K182" s="117"/>
      <c r="L182" s="243">
        <f t="shared" si="22"/>
        <v>9715</v>
      </c>
      <c r="M182" s="243">
        <f t="shared" si="23"/>
        <v>9715</v>
      </c>
      <c r="N182" s="243">
        <f t="shared" si="24"/>
        <v>9715</v>
      </c>
      <c r="O182" s="243">
        <f t="shared" si="25"/>
        <v>9715</v>
      </c>
      <c r="P182" s="244">
        <f t="shared" si="26"/>
        <v>9033</v>
      </c>
      <c r="Q182" s="141">
        <f t="shared" si="27"/>
        <v>0</v>
      </c>
    </row>
    <row r="183" spans="1:17">
      <c r="A183" s="195">
        <v>1094</v>
      </c>
      <c r="B183" s="196" t="s">
        <v>174</v>
      </c>
      <c r="C183" s="201">
        <f>VLOOKUP(A183,'Contribution Allocation_Report'!$A$9:$D$314,4,FALSE)</f>
        <v>1.904056431966964E-3</v>
      </c>
      <c r="D183" s="11"/>
      <c r="E183" s="241">
        <f>VLOOKUP(A183,'Contribution Allocation_Rep 23'!$A$9:$D$312,4,FALSE)</f>
        <v>1.9269100501437672E-3</v>
      </c>
      <c r="F183" s="123"/>
      <c r="G183" s="134">
        <f t="shared" si="20"/>
        <v>-73698</v>
      </c>
      <c r="H183" s="240">
        <f t="shared" si="21"/>
        <v>-12428</v>
      </c>
      <c r="I183" s="120">
        <f t="shared" si="28"/>
        <v>-61270</v>
      </c>
      <c r="J183" s="120"/>
      <c r="K183" s="117"/>
      <c r="L183" s="243">
        <f t="shared" si="22"/>
        <v>-12428</v>
      </c>
      <c r="M183" s="243">
        <f t="shared" si="23"/>
        <v>-12428</v>
      </c>
      <c r="N183" s="243">
        <f t="shared" si="24"/>
        <v>-12428</v>
      </c>
      <c r="O183" s="243">
        <f t="shared" si="25"/>
        <v>-12428</v>
      </c>
      <c r="P183" s="244">
        <f t="shared" si="26"/>
        <v>-11558</v>
      </c>
      <c r="Q183" s="141">
        <f t="shared" si="27"/>
        <v>0</v>
      </c>
    </row>
    <row r="184" spans="1:17">
      <c r="A184" s="193">
        <v>32111</v>
      </c>
      <c r="B184" s="194" t="s">
        <v>175</v>
      </c>
      <c r="C184" s="200">
        <f>VLOOKUP(A184,'Contribution Allocation_Report'!$A$9:$D$314,4,FALSE)</f>
        <v>1.9812937459736898E-3</v>
      </c>
      <c r="D184" s="11"/>
      <c r="E184" s="241">
        <f>VLOOKUP(A184,'Contribution Allocation_Rep 23'!$A$9:$D$312,4,FALSE)</f>
        <v>2.0527935097180696E-3</v>
      </c>
      <c r="F184" s="123"/>
      <c r="G184" s="134">
        <f t="shared" si="20"/>
        <v>-230570</v>
      </c>
      <c r="H184" s="240">
        <f t="shared" si="21"/>
        <v>-38882</v>
      </c>
      <c r="I184" s="120">
        <f t="shared" si="28"/>
        <v>-191688</v>
      </c>
      <c r="J184" s="120"/>
      <c r="K184" s="117"/>
      <c r="L184" s="243">
        <f t="shared" si="22"/>
        <v>-38882</v>
      </c>
      <c r="M184" s="243">
        <f t="shared" si="23"/>
        <v>-38882</v>
      </c>
      <c r="N184" s="243">
        <f t="shared" si="24"/>
        <v>-38882</v>
      </c>
      <c r="O184" s="243">
        <f t="shared" si="25"/>
        <v>-38882</v>
      </c>
      <c r="P184" s="244">
        <f t="shared" si="26"/>
        <v>-36160</v>
      </c>
      <c r="Q184" s="141">
        <f t="shared" si="27"/>
        <v>0</v>
      </c>
    </row>
    <row r="185" spans="1:17">
      <c r="A185" s="195">
        <v>2520</v>
      </c>
      <c r="B185" s="196" t="s">
        <v>176</v>
      </c>
      <c r="C185" s="201">
        <f>VLOOKUP(A185,'Contribution Allocation_Report'!$A$9:$D$314,4,FALSE)</f>
        <v>3.5261263949659959E-4</v>
      </c>
      <c r="D185" s="11"/>
      <c r="E185" s="241">
        <f>VLOOKUP(A185,'Contribution Allocation_Rep 23'!$A$9:$D$312,4,FALSE)</f>
        <v>3.0828744881668371E-4</v>
      </c>
      <c r="F185" s="123"/>
      <c r="G185" s="134">
        <f t="shared" si="20"/>
        <v>142938</v>
      </c>
      <c r="H185" s="240">
        <f t="shared" si="21"/>
        <v>24104</v>
      </c>
      <c r="I185" s="120">
        <f t="shared" si="28"/>
        <v>118834</v>
      </c>
      <c r="J185" s="120"/>
      <c r="K185" s="117"/>
      <c r="L185" s="243">
        <f t="shared" si="22"/>
        <v>24104</v>
      </c>
      <c r="M185" s="243">
        <f t="shared" si="23"/>
        <v>24104</v>
      </c>
      <c r="N185" s="243">
        <f t="shared" si="24"/>
        <v>24104</v>
      </c>
      <c r="O185" s="243">
        <f t="shared" si="25"/>
        <v>24104</v>
      </c>
      <c r="P185" s="244">
        <f t="shared" si="26"/>
        <v>22418</v>
      </c>
      <c r="Q185" s="141">
        <f t="shared" si="27"/>
        <v>0</v>
      </c>
    </row>
    <row r="186" spans="1:17">
      <c r="A186" s="193">
        <v>3450</v>
      </c>
      <c r="B186" s="194" t="s">
        <v>177</v>
      </c>
      <c r="C186" s="200">
        <f>VLOOKUP(A186,'Contribution Allocation_Report'!$A$9:$D$314,4,FALSE)</f>
        <v>6.1716830261976927E-4</v>
      </c>
      <c r="D186" s="11"/>
      <c r="E186" s="241">
        <f>VLOOKUP(A186,'Contribution Allocation_Rep 23'!$A$9:$D$312,4,FALSE)</f>
        <v>5.5639633553851572E-4</v>
      </c>
      <c r="F186" s="123"/>
      <c r="G186" s="134">
        <f t="shared" si="20"/>
        <v>195976</v>
      </c>
      <c r="H186" s="240">
        <f t="shared" si="21"/>
        <v>33048</v>
      </c>
      <c r="I186" s="120">
        <f t="shared" si="28"/>
        <v>162928</v>
      </c>
      <c r="J186" s="120"/>
      <c r="K186" s="117"/>
      <c r="L186" s="243">
        <f t="shared" si="22"/>
        <v>33048</v>
      </c>
      <c r="M186" s="243">
        <f t="shared" si="23"/>
        <v>33048</v>
      </c>
      <c r="N186" s="243">
        <f t="shared" si="24"/>
        <v>33048</v>
      </c>
      <c r="O186" s="243">
        <f t="shared" si="25"/>
        <v>33048</v>
      </c>
      <c r="P186" s="244">
        <f t="shared" si="26"/>
        <v>30736</v>
      </c>
      <c r="Q186" s="141">
        <f t="shared" si="27"/>
        <v>0</v>
      </c>
    </row>
    <row r="187" spans="1:17">
      <c r="A187" s="195">
        <v>4310</v>
      </c>
      <c r="B187" s="196" t="s">
        <v>178</v>
      </c>
      <c r="C187" s="201">
        <f>VLOOKUP(A187,'Contribution Allocation_Report'!$A$9:$D$314,4,FALSE)</f>
        <v>2.94407881060912E-4</v>
      </c>
      <c r="D187" s="11"/>
      <c r="E187" s="241">
        <f>VLOOKUP(A187,'Contribution Allocation_Rep 23'!$A$9:$D$312,4,FALSE)</f>
        <v>2.4850175416623482E-4</v>
      </c>
      <c r="F187" s="123"/>
      <c r="G187" s="134">
        <f t="shared" si="20"/>
        <v>148037</v>
      </c>
      <c r="H187" s="240">
        <f t="shared" si="21"/>
        <v>24964</v>
      </c>
      <c r="I187" s="120">
        <f t="shared" si="28"/>
        <v>123073</v>
      </c>
      <c r="J187" s="120"/>
      <c r="K187" s="117"/>
      <c r="L187" s="243">
        <f t="shared" si="22"/>
        <v>24964</v>
      </c>
      <c r="M187" s="243">
        <f t="shared" si="23"/>
        <v>24964</v>
      </c>
      <c r="N187" s="243">
        <f t="shared" si="24"/>
        <v>24964</v>
      </c>
      <c r="O187" s="243">
        <f t="shared" si="25"/>
        <v>24964</v>
      </c>
      <c r="P187" s="244">
        <f t="shared" si="26"/>
        <v>23217</v>
      </c>
      <c r="Q187" s="141">
        <f t="shared" si="27"/>
        <v>0</v>
      </c>
    </row>
    <row r="188" spans="1:17">
      <c r="A188" s="193">
        <v>4215</v>
      </c>
      <c r="B188" s="194" t="s">
        <v>182</v>
      </c>
      <c r="C188" s="200">
        <f>VLOOKUP(A188,'Contribution Allocation_Report'!$A$9:$D$314,4,FALSE)</f>
        <v>2.8036116409862349E-4</v>
      </c>
      <c r="D188" s="11"/>
      <c r="E188" s="241">
        <f>VLOOKUP(A188,'Contribution Allocation_Rep 23'!$A$9:$D$312,4,FALSE)</f>
        <v>3.1115101596699727E-4</v>
      </c>
      <c r="F188" s="123"/>
      <c r="G188" s="134">
        <f t="shared" si="20"/>
        <v>-99290</v>
      </c>
      <c r="H188" s="240">
        <f t="shared" si="21"/>
        <v>-16744</v>
      </c>
      <c r="I188" s="120">
        <f t="shared" si="28"/>
        <v>-82546</v>
      </c>
      <c r="J188" s="120"/>
      <c r="K188" s="117"/>
      <c r="L188" s="243">
        <f t="shared" si="22"/>
        <v>-16744</v>
      </c>
      <c r="M188" s="243">
        <f t="shared" si="23"/>
        <v>-16744</v>
      </c>
      <c r="N188" s="243">
        <f t="shared" si="24"/>
        <v>-16744</v>
      </c>
      <c r="O188" s="243">
        <f t="shared" si="25"/>
        <v>-16744</v>
      </c>
      <c r="P188" s="244">
        <f t="shared" si="26"/>
        <v>-15570</v>
      </c>
      <c r="Q188" s="141">
        <f t="shared" si="27"/>
        <v>0</v>
      </c>
    </row>
    <row r="189" spans="1:17">
      <c r="A189" s="195">
        <v>2328</v>
      </c>
      <c r="B189" s="196" t="s">
        <v>179</v>
      </c>
      <c r="C189" s="201">
        <f>VLOOKUP(A189,'Contribution Allocation_Report'!$A$9:$D$314,4,FALSE)</f>
        <v>4.3180503037510288E-4</v>
      </c>
      <c r="D189" s="11"/>
      <c r="E189" s="241">
        <f>VLOOKUP(A189,'Contribution Allocation_Rep 23'!$A$9:$D$312,4,FALSE)</f>
        <v>5.334703375607005E-4</v>
      </c>
      <c r="F189" s="123"/>
      <c r="G189" s="134">
        <f t="shared" si="20"/>
        <v>-327847</v>
      </c>
      <c r="H189" s="240">
        <f t="shared" si="21"/>
        <v>-55286</v>
      </c>
      <c r="I189" s="120">
        <f t="shared" si="28"/>
        <v>-272561</v>
      </c>
      <c r="J189" s="120"/>
      <c r="K189" s="117"/>
      <c r="L189" s="243">
        <f t="shared" si="22"/>
        <v>-55286</v>
      </c>
      <c r="M189" s="243">
        <f t="shared" si="23"/>
        <v>-55286</v>
      </c>
      <c r="N189" s="243">
        <f t="shared" si="24"/>
        <v>-55286</v>
      </c>
      <c r="O189" s="243">
        <f t="shared" si="25"/>
        <v>-55286</v>
      </c>
      <c r="P189" s="244">
        <f t="shared" si="26"/>
        <v>-51417</v>
      </c>
      <c r="Q189" s="141">
        <f t="shared" si="27"/>
        <v>0</v>
      </c>
    </row>
    <row r="190" spans="1:17">
      <c r="A190" s="193">
        <v>12151</v>
      </c>
      <c r="B190" s="194" t="s">
        <v>180</v>
      </c>
      <c r="C190" s="200">
        <f>VLOOKUP(A190,'Contribution Allocation_Report'!$A$9:$D$314,4,FALSE)</f>
        <v>2.021894960849036E-4</v>
      </c>
      <c r="D190" s="11"/>
      <c r="E190" s="241">
        <f>VLOOKUP(A190,'Contribution Allocation_Rep 23'!$A$9:$D$312,4,FALSE)</f>
        <v>1.632669795061396E-4</v>
      </c>
      <c r="F190" s="123"/>
      <c r="G190" s="134">
        <f t="shared" si="20"/>
        <v>125516</v>
      </c>
      <c r="H190" s="240">
        <f t="shared" si="21"/>
        <v>21166</v>
      </c>
      <c r="I190" s="120">
        <f t="shared" si="28"/>
        <v>104350</v>
      </c>
      <c r="J190" s="120"/>
      <c r="K190" s="117"/>
      <c r="L190" s="243">
        <f t="shared" si="22"/>
        <v>21166</v>
      </c>
      <c r="M190" s="243">
        <f t="shared" si="23"/>
        <v>21166</v>
      </c>
      <c r="N190" s="243">
        <f t="shared" si="24"/>
        <v>21166</v>
      </c>
      <c r="O190" s="243">
        <f t="shared" si="25"/>
        <v>21166</v>
      </c>
      <c r="P190" s="244">
        <f t="shared" si="26"/>
        <v>19686</v>
      </c>
      <c r="Q190" s="141">
        <f t="shared" si="27"/>
        <v>0</v>
      </c>
    </row>
    <row r="191" spans="1:17" s="191" customFormat="1">
      <c r="A191" s="195">
        <v>32110</v>
      </c>
      <c r="B191" s="196" t="s">
        <v>181</v>
      </c>
      <c r="C191" s="201">
        <f>VLOOKUP(A191,'Contribution Allocation_Report'!$A$9:$D$314,4,FALSE)</f>
        <v>2.0420346081426472E-3</v>
      </c>
      <c r="D191" s="11"/>
      <c r="E191" s="241">
        <f>VLOOKUP(A191,'Contribution Allocation_Rep 23'!$A$9:$D$312,4,FALSE)</f>
        <v>2.014964740015909E-3</v>
      </c>
      <c r="F191" s="123"/>
      <c r="G191" s="328">
        <f t="shared" si="20"/>
        <v>87294</v>
      </c>
      <c r="H191" s="240">
        <f t="shared" si="21"/>
        <v>14721</v>
      </c>
      <c r="I191" s="240">
        <f t="shared" ref="I191" si="29">G191-H191</f>
        <v>72573</v>
      </c>
      <c r="J191" s="240"/>
      <c r="K191" s="117"/>
      <c r="L191" s="243">
        <f t="shared" si="22"/>
        <v>14721</v>
      </c>
      <c r="M191" s="243">
        <f t="shared" si="23"/>
        <v>14721</v>
      </c>
      <c r="N191" s="243">
        <f t="shared" si="24"/>
        <v>14721</v>
      </c>
      <c r="O191" s="243">
        <f t="shared" si="25"/>
        <v>14721</v>
      </c>
      <c r="P191" s="244">
        <f t="shared" si="26"/>
        <v>13689</v>
      </c>
      <c r="Q191" s="244">
        <f t="shared" ref="Q191" si="30">+I191-SUM(L191:P191)</f>
        <v>0</v>
      </c>
    </row>
    <row r="192" spans="1:17">
      <c r="A192" s="193">
        <v>2870</v>
      </c>
      <c r="B192" s="194" t="s">
        <v>183</v>
      </c>
      <c r="C192" s="200">
        <f>VLOOKUP(A192,'Contribution Allocation_Report'!$A$9:$D$314,4,FALSE)</f>
        <v>3.2635650672863261E-4</v>
      </c>
      <c r="D192" s="11"/>
      <c r="E192" s="241">
        <f>VLOOKUP(A192,'Contribution Allocation_Rep 23'!$A$9:$D$312,4,FALSE)</f>
        <v>3.3998748638616088E-4</v>
      </c>
      <c r="F192" s="123"/>
      <c r="G192" s="134">
        <f t="shared" si="20"/>
        <v>-43957</v>
      </c>
      <c r="H192" s="240">
        <f t="shared" si="21"/>
        <v>-7413</v>
      </c>
      <c r="I192" s="120">
        <f t="shared" si="28"/>
        <v>-36544</v>
      </c>
      <c r="J192" s="120"/>
      <c r="K192" s="117"/>
      <c r="L192" s="243">
        <f t="shared" si="22"/>
        <v>-7413</v>
      </c>
      <c r="M192" s="243">
        <f t="shared" si="23"/>
        <v>-7413</v>
      </c>
      <c r="N192" s="243">
        <f t="shared" si="24"/>
        <v>-7413</v>
      </c>
      <c r="O192" s="243">
        <f t="shared" si="25"/>
        <v>-7413</v>
      </c>
      <c r="P192" s="244">
        <f t="shared" si="26"/>
        <v>-6892</v>
      </c>
      <c r="Q192" s="141">
        <f t="shared" si="27"/>
        <v>0</v>
      </c>
    </row>
    <row r="193" spans="1:17">
      <c r="A193" s="195">
        <v>29150</v>
      </c>
      <c r="B193" s="196" t="s">
        <v>184</v>
      </c>
      <c r="C193" s="201">
        <f>VLOOKUP(A193,'Contribution Allocation_Report'!$A$9:$D$314,4,FALSE)</f>
        <v>6.3598886190350631E-5</v>
      </c>
      <c r="D193" s="11"/>
      <c r="E193" s="241">
        <f>VLOOKUP(A193,'Contribution Allocation_Rep 23'!$A$9:$D$312,4,FALSE)</f>
        <v>8.6160195751355096E-5</v>
      </c>
      <c r="F193" s="123"/>
      <c r="G193" s="134">
        <f t="shared" si="20"/>
        <v>-72755</v>
      </c>
      <c r="H193" s="240">
        <f t="shared" si="21"/>
        <v>-12269</v>
      </c>
      <c r="I193" s="120">
        <f t="shared" si="28"/>
        <v>-60486</v>
      </c>
      <c r="J193" s="120"/>
      <c r="K193" s="117"/>
      <c r="L193" s="243">
        <f t="shared" si="22"/>
        <v>-12269</v>
      </c>
      <c r="M193" s="243">
        <f t="shared" si="23"/>
        <v>-12269</v>
      </c>
      <c r="N193" s="243">
        <f t="shared" si="24"/>
        <v>-12269</v>
      </c>
      <c r="O193" s="243">
        <f t="shared" si="25"/>
        <v>-12269</v>
      </c>
      <c r="P193" s="244">
        <f t="shared" si="26"/>
        <v>-11410</v>
      </c>
      <c r="Q193" s="141">
        <f t="shared" si="27"/>
        <v>0</v>
      </c>
    </row>
    <row r="194" spans="1:17">
      <c r="A194" s="193">
        <v>32118</v>
      </c>
      <c r="B194" s="194" t="s">
        <v>186</v>
      </c>
      <c r="C194" s="200">
        <f>VLOOKUP(A194,'Contribution Allocation_Report'!$A$9:$D$314,4,FALSE)</f>
        <v>1.2917090819547104E-3</v>
      </c>
      <c r="D194" s="11"/>
      <c r="E194" s="241">
        <f>VLOOKUP(A194,'Contribution Allocation_Rep 23'!$A$9:$D$312,4,FALSE)</f>
        <v>1.2772120617534192E-3</v>
      </c>
      <c r="F194" s="123"/>
      <c r="G194" s="134">
        <f t="shared" si="20"/>
        <v>46750</v>
      </c>
      <c r="H194" s="240">
        <f t="shared" si="21"/>
        <v>7884</v>
      </c>
      <c r="I194" s="120">
        <f t="shared" si="28"/>
        <v>38866</v>
      </c>
      <c r="J194" s="120"/>
      <c r="K194" s="117"/>
      <c r="L194" s="243">
        <f t="shared" si="22"/>
        <v>7884</v>
      </c>
      <c r="M194" s="243">
        <f t="shared" si="23"/>
        <v>7884</v>
      </c>
      <c r="N194" s="243">
        <f t="shared" si="24"/>
        <v>7884</v>
      </c>
      <c r="O194" s="243">
        <f t="shared" si="25"/>
        <v>7884</v>
      </c>
      <c r="P194" s="244">
        <f t="shared" si="26"/>
        <v>7330</v>
      </c>
      <c r="Q194" s="141">
        <f t="shared" si="27"/>
        <v>0</v>
      </c>
    </row>
    <row r="195" spans="1:17">
      <c r="A195" s="195">
        <v>12039</v>
      </c>
      <c r="B195" s="196" t="s">
        <v>187</v>
      </c>
      <c r="C195" s="201">
        <f>VLOOKUP(A195,'Contribution Allocation_Report'!$A$9:$D$314,4,FALSE)</f>
        <v>8.0286919858124856E-4</v>
      </c>
      <c r="D195" s="11"/>
      <c r="E195" s="241">
        <f>VLOOKUP(A195,'Contribution Allocation_Rep 23'!$A$9:$D$312,4,FALSE)</f>
        <v>8.7789286087478608E-4</v>
      </c>
      <c r="F195" s="123"/>
      <c r="G195" s="134">
        <f t="shared" si="20"/>
        <v>-241934</v>
      </c>
      <c r="H195" s="240">
        <f t="shared" si="21"/>
        <v>-40798</v>
      </c>
      <c r="I195" s="120">
        <f t="shared" si="28"/>
        <v>-201136</v>
      </c>
      <c r="J195" s="120"/>
      <c r="K195" s="117"/>
      <c r="L195" s="243">
        <f t="shared" si="22"/>
        <v>-40798</v>
      </c>
      <c r="M195" s="243">
        <f t="shared" si="23"/>
        <v>-40798</v>
      </c>
      <c r="N195" s="243">
        <f t="shared" si="24"/>
        <v>-40798</v>
      </c>
      <c r="O195" s="243">
        <f t="shared" si="25"/>
        <v>-40798</v>
      </c>
      <c r="P195" s="244">
        <f t="shared" si="26"/>
        <v>-37944</v>
      </c>
      <c r="Q195" s="141">
        <f t="shared" si="27"/>
        <v>0</v>
      </c>
    </row>
    <row r="196" spans="1:17">
      <c r="A196" s="193">
        <v>12150</v>
      </c>
      <c r="B196" s="194" t="s">
        <v>188</v>
      </c>
      <c r="C196" s="200">
        <f>VLOOKUP(A196,'Contribution Allocation_Report'!$A$9:$D$314,4,FALSE)</f>
        <v>1.4533523251646793E-4</v>
      </c>
      <c r="D196" s="11"/>
      <c r="E196" s="241">
        <f>VLOOKUP(A196,'Contribution Allocation_Rep 23'!$A$9:$D$312,4,FALSE)</f>
        <v>1.6932586853759572E-4</v>
      </c>
      <c r="F196" s="123"/>
      <c r="G196" s="134">
        <f t="shared" si="20"/>
        <v>-77364</v>
      </c>
      <c r="H196" s="240">
        <f t="shared" si="21"/>
        <v>-13046</v>
      </c>
      <c r="I196" s="120">
        <f t="shared" si="28"/>
        <v>-64318</v>
      </c>
      <c r="J196" s="120"/>
      <c r="K196" s="117"/>
      <c r="L196" s="243">
        <f t="shared" si="22"/>
        <v>-13046</v>
      </c>
      <c r="M196" s="243">
        <f t="shared" si="23"/>
        <v>-13046</v>
      </c>
      <c r="N196" s="243">
        <f t="shared" si="24"/>
        <v>-13046</v>
      </c>
      <c r="O196" s="243">
        <f t="shared" si="25"/>
        <v>-13046</v>
      </c>
      <c r="P196" s="244">
        <f t="shared" si="26"/>
        <v>-12134</v>
      </c>
      <c r="Q196" s="141">
        <f t="shared" si="27"/>
        <v>0</v>
      </c>
    </row>
    <row r="197" spans="1:17">
      <c r="A197" s="195">
        <v>20060</v>
      </c>
      <c r="B197" s="196" t="s">
        <v>189</v>
      </c>
      <c r="C197" s="201">
        <f>VLOOKUP(A197,'Contribution Allocation_Report'!$A$9:$D$314,4,FALSE)</f>
        <v>5.9705221046919171E-4</v>
      </c>
      <c r="D197" s="11"/>
      <c r="E197" s="241">
        <f>VLOOKUP(A197,'Contribution Allocation_Rep 23'!$A$9:$D$312,4,FALSE)</f>
        <v>6.5621085757978058E-4</v>
      </c>
      <c r="F197" s="123"/>
      <c r="G197" s="134">
        <f t="shared" ref="G197:G260" si="31">ROUND((E197-C197)*$G$318,0)</f>
        <v>-190773</v>
      </c>
      <c r="H197" s="240">
        <f t="shared" si="21"/>
        <v>-32171</v>
      </c>
      <c r="I197" s="120">
        <f t="shared" si="28"/>
        <v>-158602</v>
      </c>
      <c r="J197" s="120"/>
      <c r="K197" s="117"/>
      <c r="L197" s="243">
        <f t="shared" si="22"/>
        <v>-32171</v>
      </c>
      <c r="M197" s="243">
        <f t="shared" si="23"/>
        <v>-32171</v>
      </c>
      <c r="N197" s="243">
        <f t="shared" si="24"/>
        <v>-32171</v>
      </c>
      <c r="O197" s="243">
        <f t="shared" si="25"/>
        <v>-32171</v>
      </c>
      <c r="P197" s="244">
        <f t="shared" si="26"/>
        <v>-29918</v>
      </c>
      <c r="Q197" s="141">
        <f t="shared" si="27"/>
        <v>0</v>
      </c>
    </row>
    <row r="198" spans="1:17">
      <c r="A198" s="193">
        <v>1001</v>
      </c>
      <c r="B198" s="194" t="s">
        <v>190</v>
      </c>
      <c r="C198" s="200">
        <f>VLOOKUP(A198,'Contribution Allocation_Report'!$A$9:$D$314,4,FALSE)</f>
        <v>2.2803498419265386E-3</v>
      </c>
      <c r="D198" s="11"/>
      <c r="E198" s="241">
        <f>VLOOKUP(A198,'Contribution Allocation_Rep 23'!$A$9:$D$312,4,FALSE)</f>
        <v>2.1436244628639908E-3</v>
      </c>
      <c r="F198" s="123"/>
      <c r="G198" s="134">
        <f t="shared" si="31"/>
        <v>440908</v>
      </c>
      <c r="H198" s="240">
        <f t="shared" ref="H198:H261" si="32">ROUND(G198/5.93,0)</f>
        <v>74352</v>
      </c>
      <c r="I198" s="120">
        <f t="shared" si="28"/>
        <v>366556</v>
      </c>
      <c r="J198" s="120"/>
      <c r="K198" s="117"/>
      <c r="L198" s="243">
        <f t="shared" ref="L198:L261" si="33">+H198</f>
        <v>74352</v>
      </c>
      <c r="M198" s="243">
        <f t="shared" ref="M198:M261" si="34">+L198</f>
        <v>74352</v>
      </c>
      <c r="N198" s="243">
        <f t="shared" ref="N198:N261" si="35">+M198</f>
        <v>74352</v>
      </c>
      <c r="O198" s="243">
        <f t="shared" ref="O198:O261" si="36">+N198</f>
        <v>74352</v>
      </c>
      <c r="P198" s="244">
        <f t="shared" ref="P198:P261" si="37">I198-SUM(L198:O198)</f>
        <v>69148</v>
      </c>
      <c r="Q198" s="141">
        <f t="shared" ref="Q198:Q263" si="38">+I198-SUM(L198:P198)</f>
        <v>0</v>
      </c>
    </row>
    <row r="199" spans="1:17">
      <c r="A199" s="195">
        <v>11035</v>
      </c>
      <c r="B199" s="196" t="s">
        <v>191</v>
      </c>
      <c r="C199" s="201">
        <f>VLOOKUP(A199,'Contribution Allocation_Report'!$A$9:$D$314,4,FALSE)</f>
        <v>4.0441825074152967E-3</v>
      </c>
      <c r="D199" s="11"/>
      <c r="E199" s="241">
        <f>VLOOKUP(A199,'Contribution Allocation_Rep 23'!$A$9:$D$312,4,FALSE)</f>
        <v>4.1932401114762249E-3</v>
      </c>
      <c r="F199" s="123"/>
      <c r="G199" s="134">
        <f t="shared" si="31"/>
        <v>-480676</v>
      </c>
      <c r="H199" s="240">
        <f t="shared" si="32"/>
        <v>-81058</v>
      </c>
      <c r="I199" s="120">
        <f t="shared" ref="I199:I264" si="39">G199-H199</f>
        <v>-399618</v>
      </c>
      <c r="J199" s="120"/>
      <c r="K199" s="117"/>
      <c r="L199" s="243">
        <f t="shared" si="33"/>
        <v>-81058</v>
      </c>
      <c r="M199" s="243">
        <f t="shared" si="34"/>
        <v>-81058</v>
      </c>
      <c r="N199" s="243">
        <f t="shared" si="35"/>
        <v>-81058</v>
      </c>
      <c r="O199" s="243">
        <f t="shared" si="36"/>
        <v>-81058</v>
      </c>
      <c r="P199" s="244">
        <f t="shared" si="37"/>
        <v>-75386</v>
      </c>
      <c r="Q199" s="141">
        <f t="shared" si="38"/>
        <v>0</v>
      </c>
    </row>
    <row r="200" spans="1:17">
      <c r="A200" s="193">
        <v>2320</v>
      </c>
      <c r="B200" s="194" t="s">
        <v>192</v>
      </c>
      <c r="C200" s="200">
        <f>VLOOKUP(A200,'Contribution Allocation_Report'!$A$9:$D$314,4,FALSE)</f>
        <v>4.7537419327266527E-4</v>
      </c>
      <c r="D200" s="11"/>
      <c r="E200" s="241">
        <f>VLOOKUP(A200,'Contribution Allocation_Rep 23'!$A$9:$D$312,4,FALSE)</f>
        <v>4.9575506289803418E-4</v>
      </c>
      <c r="F200" s="123"/>
      <c r="G200" s="134">
        <f t="shared" si="31"/>
        <v>-65724</v>
      </c>
      <c r="H200" s="240">
        <f t="shared" si="32"/>
        <v>-11083</v>
      </c>
      <c r="I200" s="120">
        <f t="shared" si="39"/>
        <v>-54641</v>
      </c>
      <c r="J200" s="120"/>
      <c r="K200" s="117"/>
      <c r="L200" s="243">
        <f t="shared" si="33"/>
        <v>-11083</v>
      </c>
      <c r="M200" s="243">
        <f t="shared" si="34"/>
        <v>-11083</v>
      </c>
      <c r="N200" s="243">
        <f t="shared" si="35"/>
        <v>-11083</v>
      </c>
      <c r="O200" s="243">
        <f t="shared" si="36"/>
        <v>-11083</v>
      </c>
      <c r="P200" s="244">
        <f t="shared" si="37"/>
        <v>-10309</v>
      </c>
      <c r="Q200" s="141">
        <f t="shared" si="38"/>
        <v>0</v>
      </c>
    </row>
    <row r="201" spans="1:17">
      <c r="A201" s="195">
        <v>28084</v>
      </c>
      <c r="B201" s="196" t="s">
        <v>193</v>
      </c>
      <c r="C201" s="201">
        <f>VLOOKUP(A201,'Contribution Allocation_Report'!$A$9:$D$314,4,FALSE)</f>
        <v>3.9964440842008112E-4</v>
      </c>
      <c r="D201" s="11"/>
      <c r="E201" s="241">
        <f>VLOOKUP(A201,'Contribution Allocation_Rep 23'!$A$9:$D$312,4,FALSE)</f>
        <v>3.7814801081915034E-4</v>
      </c>
      <c r="F201" s="123"/>
      <c r="G201" s="134">
        <f t="shared" si="31"/>
        <v>69321</v>
      </c>
      <c r="H201" s="240">
        <f t="shared" si="32"/>
        <v>11690</v>
      </c>
      <c r="I201" s="120">
        <f t="shared" si="39"/>
        <v>57631</v>
      </c>
      <c r="J201" s="120"/>
      <c r="K201" s="117"/>
      <c r="L201" s="243">
        <f t="shared" si="33"/>
        <v>11690</v>
      </c>
      <c r="M201" s="243">
        <f t="shared" si="34"/>
        <v>11690</v>
      </c>
      <c r="N201" s="243">
        <f t="shared" si="35"/>
        <v>11690</v>
      </c>
      <c r="O201" s="243">
        <f t="shared" si="36"/>
        <v>11690</v>
      </c>
      <c r="P201" s="244">
        <f t="shared" si="37"/>
        <v>10871</v>
      </c>
      <c r="Q201" s="141">
        <f t="shared" si="38"/>
        <v>0</v>
      </c>
    </row>
    <row r="202" spans="1:17">
      <c r="A202" s="193">
        <v>20125</v>
      </c>
      <c r="B202" s="194" t="s">
        <v>194</v>
      </c>
      <c r="C202" s="200">
        <f>VLOOKUP(A202,'Contribution Allocation_Report'!$A$9:$D$314,4,FALSE)</f>
        <v>6.0623086453789779E-4</v>
      </c>
      <c r="D202" s="11"/>
      <c r="E202" s="241">
        <f>VLOOKUP(A202,'Contribution Allocation_Rep 23'!$A$9:$D$312,4,FALSE)</f>
        <v>6.3195784067864936E-4</v>
      </c>
      <c r="F202" s="123"/>
      <c r="G202" s="134">
        <f t="shared" si="31"/>
        <v>-82964</v>
      </c>
      <c r="H202" s="240">
        <f t="shared" si="32"/>
        <v>-13991</v>
      </c>
      <c r="I202" s="120">
        <f t="shared" si="39"/>
        <v>-68973</v>
      </c>
      <c r="J202" s="120"/>
      <c r="K202" s="117"/>
      <c r="L202" s="243">
        <f t="shared" si="33"/>
        <v>-13991</v>
      </c>
      <c r="M202" s="243">
        <f t="shared" si="34"/>
        <v>-13991</v>
      </c>
      <c r="N202" s="243">
        <f t="shared" si="35"/>
        <v>-13991</v>
      </c>
      <c r="O202" s="243">
        <f t="shared" si="36"/>
        <v>-13991</v>
      </c>
      <c r="P202" s="244">
        <f t="shared" si="37"/>
        <v>-13009</v>
      </c>
      <c r="Q202" s="141">
        <f t="shared" si="38"/>
        <v>0</v>
      </c>
    </row>
    <row r="203" spans="1:17" s="132" customFormat="1">
      <c r="A203" s="195">
        <v>7445</v>
      </c>
      <c r="B203" s="223" t="s">
        <v>411</v>
      </c>
      <c r="C203" s="224">
        <f>VLOOKUP(A203,'Contribution Allocation_Report'!$A$9:$D$314,4,FALSE)</f>
        <v>2.3971283893721047E-4</v>
      </c>
      <c r="D203" s="11"/>
      <c r="E203" s="241">
        <f>VLOOKUP(A203,'Contribution Allocation_Rep 23'!$A$9:$D$312,4,FALSE)</f>
        <v>2.1015789159252408E-4</v>
      </c>
      <c r="F203" s="123"/>
      <c r="G203" s="242">
        <f t="shared" si="31"/>
        <v>95308</v>
      </c>
      <c r="H203" s="240">
        <f t="shared" si="32"/>
        <v>16072</v>
      </c>
      <c r="I203" s="240">
        <f t="shared" si="39"/>
        <v>79236</v>
      </c>
      <c r="J203" s="120"/>
      <c r="K203" s="117"/>
      <c r="L203" s="243">
        <f t="shared" si="33"/>
        <v>16072</v>
      </c>
      <c r="M203" s="243">
        <f t="shared" si="34"/>
        <v>16072</v>
      </c>
      <c r="N203" s="243">
        <f t="shared" si="35"/>
        <v>16072</v>
      </c>
      <c r="O203" s="243">
        <f t="shared" si="36"/>
        <v>16072</v>
      </c>
      <c r="P203" s="244">
        <f t="shared" si="37"/>
        <v>14948</v>
      </c>
      <c r="Q203" s="244">
        <f>+I203-SUM(L203:P203)</f>
        <v>0</v>
      </c>
    </row>
    <row r="204" spans="1:17">
      <c r="A204" s="193">
        <v>9029</v>
      </c>
      <c r="B204" s="194" t="s">
        <v>196</v>
      </c>
      <c r="C204" s="200">
        <f>VLOOKUP(A204,'Contribution Allocation_Report'!$A$9:$D$314,4,FALSE)</f>
        <v>1.1856010143033032E-3</v>
      </c>
      <c r="D204" s="11"/>
      <c r="E204" s="241">
        <f>VLOOKUP(A204,'Contribution Allocation_Rep 23'!$A$9:$D$312,4,FALSE)</f>
        <v>1.2384054886340787E-3</v>
      </c>
      <c r="F204" s="123"/>
      <c r="G204" s="242">
        <f t="shared" si="31"/>
        <v>-170282</v>
      </c>
      <c r="H204" s="240">
        <f t="shared" si="32"/>
        <v>-28715</v>
      </c>
      <c r="I204" s="240">
        <f t="shared" si="39"/>
        <v>-141567</v>
      </c>
      <c r="J204" s="120"/>
      <c r="K204" s="117"/>
      <c r="L204" s="243">
        <f t="shared" si="33"/>
        <v>-28715</v>
      </c>
      <c r="M204" s="243">
        <f t="shared" si="34"/>
        <v>-28715</v>
      </c>
      <c r="N204" s="243">
        <f t="shared" si="35"/>
        <v>-28715</v>
      </c>
      <c r="O204" s="243">
        <f t="shared" si="36"/>
        <v>-28715</v>
      </c>
      <c r="P204" s="244">
        <f t="shared" si="37"/>
        <v>-26707</v>
      </c>
      <c r="Q204" s="141">
        <f t="shared" si="38"/>
        <v>0</v>
      </c>
    </row>
    <row r="205" spans="1:17">
      <c r="A205" s="298">
        <v>2580</v>
      </c>
      <c r="B205" s="299" t="s">
        <v>197</v>
      </c>
      <c r="C205" s="224">
        <f>VLOOKUP(A205,'Contribution Allocation_Report'!$A$9:$D$314,4,FALSE)</f>
        <v>1.4261068763893068E-4</v>
      </c>
      <c r="D205" s="11"/>
      <c r="E205" s="241">
        <f>VLOOKUP(A205,'Contribution Allocation_Rep 23'!$A$9:$D$312,4,FALSE)</f>
        <v>1.4220928448615091E-4</v>
      </c>
      <c r="F205" s="123"/>
      <c r="G205" s="134">
        <f t="shared" si="31"/>
        <v>1294</v>
      </c>
      <c r="H205" s="240">
        <f t="shared" si="32"/>
        <v>218</v>
      </c>
      <c r="I205" s="240">
        <f t="shared" si="39"/>
        <v>1076</v>
      </c>
      <c r="J205" s="120"/>
      <c r="K205" s="117"/>
      <c r="L205" s="243">
        <f t="shared" si="33"/>
        <v>218</v>
      </c>
      <c r="M205" s="243">
        <f t="shared" si="34"/>
        <v>218</v>
      </c>
      <c r="N205" s="243">
        <f t="shared" si="35"/>
        <v>218</v>
      </c>
      <c r="O205" s="243">
        <f t="shared" si="36"/>
        <v>218</v>
      </c>
      <c r="P205" s="244">
        <f t="shared" si="37"/>
        <v>204</v>
      </c>
      <c r="Q205" s="141">
        <f t="shared" si="38"/>
        <v>0</v>
      </c>
    </row>
    <row r="206" spans="1:17">
      <c r="A206" s="193">
        <v>20312</v>
      </c>
      <c r="B206" s="194" t="s">
        <v>198</v>
      </c>
      <c r="C206" s="200">
        <f>VLOOKUP(A206,'Contribution Allocation_Report'!$A$9:$D$314,4,FALSE)</f>
        <v>1.1639381344268614E-4</v>
      </c>
      <c r="D206" s="11"/>
      <c r="E206" s="241">
        <f>VLOOKUP(A206,'Contribution Allocation_Rep 23'!$A$9:$D$312,4,FALSE)</f>
        <v>1.2550805290520629E-4</v>
      </c>
      <c r="F206" s="123"/>
      <c r="G206" s="134">
        <f t="shared" si="31"/>
        <v>-29391</v>
      </c>
      <c r="H206" s="240">
        <f t="shared" si="32"/>
        <v>-4956</v>
      </c>
      <c r="I206" s="120">
        <f t="shared" si="39"/>
        <v>-24435</v>
      </c>
      <c r="J206" s="120"/>
      <c r="K206" s="117"/>
      <c r="L206" s="243">
        <f t="shared" si="33"/>
        <v>-4956</v>
      </c>
      <c r="M206" s="243">
        <f t="shared" si="34"/>
        <v>-4956</v>
      </c>
      <c r="N206" s="243">
        <f t="shared" si="35"/>
        <v>-4956</v>
      </c>
      <c r="O206" s="243">
        <f t="shared" si="36"/>
        <v>-4956</v>
      </c>
      <c r="P206" s="244">
        <f t="shared" si="37"/>
        <v>-4611</v>
      </c>
      <c r="Q206" s="141">
        <f t="shared" si="38"/>
        <v>0</v>
      </c>
    </row>
    <row r="207" spans="1:17">
      <c r="A207" s="195">
        <v>26150</v>
      </c>
      <c r="B207" s="196" t="s">
        <v>199</v>
      </c>
      <c r="C207" s="201">
        <f>VLOOKUP(A207,'Contribution Allocation_Report'!$A$9:$D$314,4,FALSE)</f>
        <v>8.6267570674321162E-4</v>
      </c>
      <c r="D207" s="11"/>
      <c r="E207" s="241">
        <f>VLOOKUP(A207,'Contribution Allocation_Rep 23'!$A$9:$D$312,4,FALSE)</f>
        <v>9.0917383983690032E-4</v>
      </c>
      <c r="F207" s="123"/>
      <c r="G207" s="134">
        <f t="shared" si="31"/>
        <v>-149946</v>
      </c>
      <c r="H207" s="240">
        <f t="shared" si="32"/>
        <v>-25286</v>
      </c>
      <c r="I207" s="120">
        <f t="shared" si="39"/>
        <v>-124660</v>
      </c>
      <c r="J207" s="120"/>
      <c r="K207" s="117"/>
      <c r="L207" s="243">
        <f t="shared" si="33"/>
        <v>-25286</v>
      </c>
      <c r="M207" s="243">
        <f t="shared" si="34"/>
        <v>-25286</v>
      </c>
      <c r="N207" s="243">
        <f t="shared" si="35"/>
        <v>-25286</v>
      </c>
      <c r="O207" s="243">
        <f t="shared" si="36"/>
        <v>-25286</v>
      </c>
      <c r="P207" s="244">
        <f t="shared" si="37"/>
        <v>-23516</v>
      </c>
      <c r="Q207" s="141">
        <f t="shared" si="38"/>
        <v>0</v>
      </c>
    </row>
    <row r="208" spans="1:17">
      <c r="A208" s="193">
        <v>5016</v>
      </c>
      <c r="B208" s="194" t="s">
        <v>200</v>
      </c>
      <c r="C208" s="200">
        <f>VLOOKUP(A208,'Contribution Allocation_Report'!$A$9:$D$314,4,FALSE)</f>
        <v>1.2539972979581357E-4</v>
      </c>
      <c r="D208" s="11"/>
      <c r="E208" s="241">
        <f>VLOOKUP(A208,'Contribution Allocation_Rep 23'!$A$9:$D$312,4,FALSE)</f>
        <v>1.0552419556658517E-4</v>
      </c>
      <c r="F208" s="123"/>
      <c r="G208" s="134">
        <f t="shared" si="31"/>
        <v>64094</v>
      </c>
      <c r="H208" s="240">
        <f t="shared" si="32"/>
        <v>10808</v>
      </c>
      <c r="I208" s="120">
        <f t="shared" si="39"/>
        <v>53286</v>
      </c>
      <c r="J208" s="120"/>
      <c r="K208" s="117"/>
      <c r="L208" s="243">
        <f t="shared" si="33"/>
        <v>10808</v>
      </c>
      <c r="M208" s="243">
        <f t="shared" si="34"/>
        <v>10808</v>
      </c>
      <c r="N208" s="243">
        <f t="shared" si="35"/>
        <v>10808</v>
      </c>
      <c r="O208" s="243">
        <f t="shared" si="36"/>
        <v>10808</v>
      </c>
      <c r="P208" s="244">
        <f t="shared" si="37"/>
        <v>10054</v>
      </c>
      <c r="Q208" s="141">
        <f t="shared" si="38"/>
        <v>0</v>
      </c>
    </row>
    <row r="209" spans="1:17">
      <c r="A209" s="195">
        <v>6150</v>
      </c>
      <c r="B209" s="196" t="s">
        <v>201</v>
      </c>
      <c r="C209" s="201">
        <f>VLOOKUP(A209,'Contribution Allocation_Report'!$A$9:$D$314,4,FALSE)</f>
        <v>9.8994414455301331E-5</v>
      </c>
      <c r="D209" s="11"/>
      <c r="E209" s="241">
        <f>VLOOKUP(A209,'Contribution Allocation_Rep 23'!$A$9:$D$312,4,FALSE)</f>
        <v>1.3574879762263861E-4</v>
      </c>
      <c r="F209" s="123"/>
      <c r="G209" s="134">
        <f t="shared" si="31"/>
        <v>-118524</v>
      </c>
      <c r="H209" s="240">
        <f t="shared" si="32"/>
        <v>-19987</v>
      </c>
      <c r="I209" s="120">
        <f t="shared" si="39"/>
        <v>-98537</v>
      </c>
      <c r="J209" s="120"/>
      <c r="K209" s="117"/>
      <c r="L209" s="243">
        <f t="shared" si="33"/>
        <v>-19987</v>
      </c>
      <c r="M209" s="243">
        <f t="shared" si="34"/>
        <v>-19987</v>
      </c>
      <c r="N209" s="243">
        <f t="shared" si="35"/>
        <v>-19987</v>
      </c>
      <c r="O209" s="243">
        <f t="shared" si="36"/>
        <v>-19987</v>
      </c>
      <c r="P209" s="244">
        <f t="shared" si="37"/>
        <v>-18589</v>
      </c>
      <c r="Q209" s="141">
        <f t="shared" si="38"/>
        <v>0</v>
      </c>
    </row>
    <row r="210" spans="1:17">
      <c r="A210" s="193">
        <v>4480</v>
      </c>
      <c r="B210" s="194" t="s">
        <v>202</v>
      </c>
      <c r="C210" s="200">
        <f>VLOOKUP(A210,'Contribution Allocation_Report'!$A$9:$D$314,4,FALSE)</f>
        <v>1.6662908181871866E-4</v>
      </c>
      <c r="D210" s="11"/>
      <c r="E210" s="241">
        <f>VLOOKUP(A210,'Contribution Allocation_Rep 23'!$A$9:$D$312,4,FALSE)</f>
        <v>1.6513528246396613E-4</v>
      </c>
      <c r="F210" s="123"/>
      <c r="G210" s="134">
        <f t="shared" si="31"/>
        <v>4817</v>
      </c>
      <c r="H210" s="240">
        <f t="shared" si="32"/>
        <v>812</v>
      </c>
      <c r="I210" s="120">
        <f t="shared" si="39"/>
        <v>4005</v>
      </c>
      <c r="J210" s="120"/>
      <c r="K210" s="117"/>
      <c r="L210" s="243">
        <f t="shared" si="33"/>
        <v>812</v>
      </c>
      <c r="M210" s="243">
        <f t="shared" si="34"/>
        <v>812</v>
      </c>
      <c r="N210" s="243">
        <f t="shared" si="35"/>
        <v>812</v>
      </c>
      <c r="O210" s="243">
        <f t="shared" si="36"/>
        <v>812</v>
      </c>
      <c r="P210" s="244">
        <f t="shared" si="37"/>
        <v>757</v>
      </c>
      <c r="Q210" s="141">
        <f t="shared" si="38"/>
        <v>0</v>
      </c>
    </row>
    <row r="211" spans="1:17">
      <c r="A211" s="195">
        <v>28085</v>
      </c>
      <c r="B211" s="196" t="s">
        <v>203</v>
      </c>
      <c r="C211" s="201">
        <f>VLOOKUP(A211,'Contribution Allocation_Report'!$A$9:$D$314,4,FALSE)</f>
        <v>3.116345423327181E-4</v>
      </c>
      <c r="D211" s="11"/>
      <c r="E211" s="241">
        <f>VLOOKUP(A211,'Contribution Allocation_Rep 23'!$A$9:$D$312,4,FALSE)</f>
        <v>3.2576568489878043E-4</v>
      </c>
      <c r="F211" s="123"/>
      <c r="G211" s="134">
        <f t="shared" si="31"/>
        <v>-45570</v>
      </c>
      <c r="H211" s="240">
        <f t="shared" si="32"/>
        <v>-7685</v>
      </c>
      <c r="I211" s="120">
        <f t="shared" si="39"/>
        <v>-37885</v>
      </c>
      <c r="J211" s="120"/>
      <c r="K211" s="117"/>
      <c r="L211" s="243">
        <f t="shared" si="33"/>
        <v>-7685</v>
      </c>
      <c r="M211" s="243">
        <f t="shared" si="34"/>
        <v>-7685</v>
      </c>
      <c r="N211" s="243">
        <f t="shared" si="35"/>
        <v>-7685</v>
      </c>
      <c r="O211" s="243">
        <f t="shared" si="36"/>
        <v>-7685</v>
      </c>
      <c r="P211" s="244">
        <f t="shared" si="37"/>
        <v>-7145</v>
      </c>
      <c r="Q211" s="141">
        <f t="shared" si="38"/>
        <v>0</v>
      </c>
    </row>
    <row r="212" spans="1:17">
      <c r="A212" s="193">
        <v>3240</v>
      </c>
      <c r="B212" s="194" t="s">
        <v>204</v>
      </c>
      <c r="C212" s="200">
        <f>VLOOKUP(A212,'Contribution Allocation_Report'!$A$9:$D$314,4,FALSE)</f>
        <v>1.81039333155157E-3</v>
      </c>
      <c r="D212" s="11"/>
      <c r="E212" s="241">
        <f>VLOOKUP(A212,'Contribution Allocation_Rep 23'!$A$9:$D$312,4,FALSE)</f>
        <v>1.6175225724827558E-3</v>
      </c>
      <c r="F212" s="123"/>
      <c r="G212" s="134">
        <f t="shared" si="31"/>
        <v>621963</v>
      </c>
      <c r="H212" s="240">
        <f t="shared" si="32"/>
        <v>104884</v>
      </c>
      <c r="I212" s="120">
        <f t="shared" si="39"/>
        <v>517079</v>
      </c>
      <c r="J212" s="120"/>
      <c r="K212" s="117"/>
      <c r="L212" s="243">
        <f t="shared" si="33"/>
        <v>104884</v>
      </c>
      <c r="M212" s="243">
        <f t="shared" si="34"/>
        <v>104884</v>
      </c>
      <c r="N212" s="243">
        <f t="shared" si="35"/>
        <v>104884</v>
      </c>
      <c r="O212" s="243">
        <f t="shared" si="36"/>
        <v>104884</v>
      </c>
      <c r="P212" s="244">
        <f t="shared" si="37"/>
        <v>97543</v>
      </c>
      <c r="Q212" s="141">
        <f t="shared" si="38"/>
        <v>0</v>
      </c>
    </row>
    <row r="213" spans="1:17">
      <c r="A213" s="195">
        <v>12326</v>
      </c>
      <c r="B213" s="196" t="s">
        <v>205</v>
      </c>
      <c r="C213" s="201">
        <f>VLOOKUP(A213,'Contribution Allocation_Report'!$A$9:$D$314,4,FALSE)</f>
        <v>1.6273463150385275E-4</v>
      </c>
      <c r="D213" s="11"/>
      <c r="E213" s="241">
        <f>VLOOKUP(A213,'Contribution Allocation_Rep 23'!$A$9:$D$312,4,FALSE)</f>
        <v>1.4683638994245025E-4</v>
      </c>
      <c r="F213" s="123"/>
      <c r="G213" s="134">
        <f t="shared" si="31"/>
        <v>51268</v>
      </c>
      <c r="H213" s="240">
        <f t="shared" si="32"/>
        <v>8646</v>
      </c>
      <c r="I213" s="120">
        <f t="shared" si="39"/>
        <v>42622</v>
      </c>
      <c r="J213" s="120"/>
      <c r="K213" s="117"/>
      <c r="L213" s="243">
        <f t="shared" si="33"/>
        <v>8646</v>
      </c>
      <c r="M213" s="243">
        <f t="shared" si="34"/>
        <v>8646</v>
      </c>
      <c r="N213" s="243">
        <f t="shared" si="35"/>
        <v>8646</v>
      </c>
      <c r="O213" s="243">
        <f t="shared" si="36"/>
        <v>8646</v>
      </c>
      <c r="P213" s="244">
        <f t="shared" si="37"/>
        <v>8038</v>
      </c>
      <c r="Q213" s="141">
        <f t="shared" si="38"/>
        <v>0</v>
      </c>
    </row>
    <row r="214" spans="1:17">
      <c r="A214" s="193">
        <v>2445</v>
      </c>
      <c r="B214" s="194" t="s">
        <v>446</v>
      </c>
      <c r="C214" s="200">
        <f>VLOOKUP(A214,'Contribution Allocation_Report'!$A$9:$D$314,4,FALSE)</f>
        <v>1.5143601456213491E-4</v>
      </c>
      <c r="D214" s="11"/>
      <c r="E214" s="241">
        <f>VLOOKUP(A214,'Contribution Allocation_Rep 23'!$A$9:$D$312,4,FALSE)</f>
        <v>9.4471524797387131E-5</v>
      </c>
      <c r="F214" s="123"/>
      <c r="G214" s="134">
        <f t="shared" si="31"/>
        <v>183697</v>
      </c>
      <c r="H214" s="240">
        <f t="shared" si="32"/>
        <v>30978</v>
      </c>
      <c r="I214" s="120">
        <f t="shared" si="39"/>
        <v>152719</v>
      </c>
      <c r="J214" s="120"/>
      <c r="K214" s="117"/>
      <c r="L214" s="243">
        <f t="shared" si="33"/>
        <v>30978</v>
      </c>
      <c r="M214" s="243">
        <f t="shared" si="34"/>
        <v>30978</v>
      </c>
      <c r="N214" s="243">
        <f t="shared" si="35"/>
        <v>30978</v>
      </c>
      <c r="O214" s="243">
        <f t="shared" si="36"/>
        <v>30978</v>
      </c>
      <c r="P214" s="244">
        <f t="shared" si="37"/>
        <v>28807</v>
      </c>
      <c r="Q214" s="141">
        <f t="shared" si="38"/>
        <v>0</v>
      </c>
    </row>
    <row r="215" spans="1:17">
      <c r="A215" s="195">
        <v>29123</v>
      </c>
      <c r="B215" s="196" t="s">
        <v>206</v>
      </c>
      <c r="C215" s="201">
        <f>VLOOKUP(A215,'Contribution Allocation_Report'!$A$9:$D$314,4,FALSE)</f>
        <v>2.2802085110683379E-2</v>
      </c>
      <c r="D215" s="11"/>
      <c r="E215" s="241">
        <f>VLOOKUP(A215,'Contribution Allocation_Rep 23'!$A$9:$D$312,4,FALSE)</f>
        <v>2.3521026278720016E-2</v>
      </c>
      <c r="F215" s="123"/>
      <c r="G215" s="134">
        <f t="shared" si="31"/>
        <v>-2318419</v>
      </c>
      <c r="H215" s="240">
        <f t="shared" si="32"/>
        <v>-390964</v>
      </c>
      <c r="I215" s="120">
        <f t="shared" si="39"/>
        <v>-1927455</v>
      </c>
      <c r="J215" s="120"/>
      <c r="K215" s="117"/>
      <c r="L215" s="243">
        <f t="shared" si="33"/>
        <v>-390964</v>
      </c>
      <c r="M215" s="243">
        <f t="shared" si="34"/>
        <v>-390964</v>
      </c>
      <c r="N215" s="243">
        <f t="shared" si="35"/>
        <v>-390964</v>
      </c>
      <c r="O215" s="243">
        <f t="shared" si="36"/>
        <v>-390964</v>
      </c>
      <c r="P215" s="244">
        <f t="shared" si="37"/>
        <v>-363599</v>
      </c>
      <c r="Q215" s="141">
        <f t="shared" si="38"/>
        <v>0</v>
      </c>
    </row>
    <row r="216" spans="1:17">
      <c r="A216" s="193">
        <v>2318</v>
      </c>
      <c r="B216" s="194" t="s">
        <v>207</v>
      </c>
      <c r="C216" s="200">
        <f>VLOOKUP(A216,'Contribution Allocation_Report'!$A$9:$D$314,4,FALSE)</f>
        <v>4.8240147761098183E-4</v>
      </c>
      <c r="D216" s="11"/>
      <c r="E216" s="241">
        <f>VLOOKUP(A216,'Contribution Allocation_Rep 23'!$A$9:$D$312,4,FALSE)</f>
        <v>6.0916279851563502E-4</v>
      </c>
      <c r="F216" s="123"/>
      <c r="G216" s="134">
        <f t="shared" si="31"/>
        <v>-408776</v>
      </c>
      <c r="H216" s="240">
        <f t="shared" si="32"/>
        <v>-68934</v>
      </c>
      <c r="I216" s="120">
        <f t="shared" si="39"/>
        <v>-339842</v>
      </c>
      <c r="J216" s="120"/>
      <c r="K216" s="117"/>
      <c r="L216" s="243">
        <f t="shared" si="33"/>
        <v>-68934</v>
      </c>
      <c r="M216" s="243">
        <f t="shared" si="34"/>
        <v>-68934</v>
      </c>
      <c r="N216" s="243">
        <f t="shared" si="35"/>
        <v>-68934</v>
      </c>
      <c r="O216" s="243">
        <f t="shared" si="36"/>
        <v>-68934</v>
      </c>
      <c r="P216" s="244">
        <f t="shared" si="37"/>
        <v>-64106</v>
      </c>
      <c r="Q216" s="141">
        <f t="shared" si="38"/>
        <v>0</v>
      </c>
    </row>
    <row r="217" spans="1:17">
      <c r="A217" s="195">
        <v>3250</v>
      </c>
      <c r="B217" s="196" t="s">
        <v>208</v>
      </c>
      <c r="C217" s="201">
        <f>VLOOKUP(A217,'Contribution Allocation_Report'!$A$9:$D$314,4,FALSE)</f>
        <v>6.3373541988663833E-4</v>
      </c>
      <c r="D217" s="11"/>
      <c r="E217" s="241">
        <f>VLOOKUP(A217,'Contribution Allocation_Rep 23'!$A$9:$D$312,4,FALSE)</f>
        <v>6.7992259044640142E-4</v>
      </c>
      <c r="F217" s="123"/>
      <c r="G217" s="134">
        <f t="shared" si="31"/>
        <v>-148943</v>
      </c>
      <c r="H217" s="240">
        <f t="shared" si="32"/>
        <v>-25117</v>
      </c>
      <c r="I217" s="120">
        <f t="shared" si="39"/>
        <v>-123826</v>
      </c>
      <c r="J217" s="120"/>
      <c r="K217" s="117"/>
      <c r="L217" s="243">
        <f t="shared" si="33"/>
        <v>-25117</v>
      </c>
      <c r="M217" s="243">
        <f t="shared" si="34"/>
        <v>-25117</v>
      </c>
      <c r="N217" s="243">
        <f t="shared" si="35"/>
        <v>-25117</v>
      </c>
      <c r="O217" s="243">
        <f t="shared" si="36"/>
        <v>-25117</v>
      </c>
      <c r="P217" s="244">
        <f t="shared" si="37"/>
        <v>-23358</v>
      </c>
      <c r="Q217" s="141">
        <f t="shared" si="38"/>
        <v>0</v>
      </c>
    </row>
    <row r="218" spans="1:17">
      <c r="A218" s="193">
        <v>2313</v>
      </c>
      <c r="B218" s="194" t="s">
        <v>209</v>
      </c>
      <c r="C218" s="200">
        <f>VLOOKUP(A218,'Contribution Allocation_Report'!$A$9:$D$314,4,FALSE)</f>
        <v>9.1370399826803746E-5</v>
      </c>
      <c r="D218" s="11"/>
      <c r="E218" s="241">
        <f>VLOOKUP(A218,'Contribution Allocation_Rep 23'!$A$9:$D$312,4,FALSE)</f>
        <v>8.7941194832647673E-5</v>
      </c>
      <c r="F218" s="123"/>
      <c r="G218" s="134">
        <f t="shared" si="31"/>
        <v>11058</v>
      </c>
      <c r="H218" s="240">
        <f t="shared" si="32"/>
        <v>1865</v>
      </c>
      <c r="I218" s="120">
        <f t="shared" si="39"/>
        <v>9193</v>
      </c>
      <c r="J218" s="120"/>
      <c r="K218" s="117"/>
      <c r="L218" s="243">
        <f t="shared" si="33"/>
        <v>1865</v>
      </c>
      <c r="M218" s="243">
        <f t="shared" si="34"/>
        <v>1865</v>
      </c>
      <c r="N218" s="243">
        <f t="shared" si="35"/>
        <v>1865</v>
      </c>
      <c r="O218" s="243">
        <f t="shared" si="36"/>
        <v>1865</v>
      </c>
      <c r="P218" s="244">
        <f t="shared" si="37"/>
        <v>1733</v>
      </c>
      <c r="Q218" s="141">
        <f t="shared" si="38"/>
        <v>0</v>
      </c>
    </row>
    <row r="219" spans="1:17">
      <c r="A219" s="195">
        <v>4011</v>
      </c>
      <c r="B219" s="196" t="s">
        <v>210</v>
      </c>
      <c r="C219" s="201">
        <f>VLOOKUP(A219,'Contribution Allocation_Report'!$A$9:$D$314,4,FALSE)</f>
        <v>1.3031765107548348E-2</v>
      </c>
      <c r="D219" s="11"/>
      <c r="E219" s="241">
        <f>VLOOKUP(A219,'Contribution Allocation_Rep 23'!$A$9:$D$312,4,FALSE)</f>
        <v>1.3392117827127691E-2</v>
      </c>
      <c r="F219" s="123"/>
      <c r="G219" s="134">
        <f t="shared" si="31"/>
        <v>-1162054</v>
      </c>
      <c r="H219" s="240">
        <f t="shared" si="32"/>
        <v>-195962</v>
      </c>
      <c r="I219" s="120">
        <f t="shared" si="39"/>
        <v>-966092</v>
      </c>
      <c r="J219" s="120"/>
      <c r="K219" s="117"/>
      <c r="L219" s="243">
        <f t="shared" si="33"/>
        <v>-195962</v>
      </c>
      <c r="M219" s="243">
        <f t="shared" si="34"/>
        <v>-195962</v>
      </c>
      <c r="N219" s="243">
        <f t="shared" si="35"/>
        <v>-195962</v>
      </c>
      <c r="O219" s="243">
        <f t="shared" si="36"/>
        <v>-195962</v>
      </c>
      <c r="P219" s="244">
        <f t="shared" si="37"/>
        <v>-182244</v>
      </c>
      <c r="Q219" s="141">
        <f t="shared" si="38"/>
        <v>0</v>
      </c>
    </row>
    <row r="220" spans="1:17">
      <c r="A220" s="193">
        <v>31092</v>
      </c>
      <c r="B220" s="194" t="s">
        <v>211</v>
      </c>
      <c r="C220" s="200">
        <f>VLOOKUP(A220,'Contribution Allocation_Report'!$A$9:$D$314,4,FALSE)</f>
        <v>2.0233082694310437E-4</v>
      </c>
      <c r="D220" s="11"/>
      <c r="E220" s="241">
        <f>VLOOKUP(A220,'Contribution Allocation_Rep 23'!$A$9:$D$312,4,FALSE)</f>
        <v>1.9717580515192572E-4</v>
      </c>
      <c r="F220" s="123"/>
      <c r="G220" s="134">
        <f t="shared" si="31"/>
        <v>16624</v>
      </c>
      <c r="H220" s="240">
        <f t="shared" si="32"/>
        <v>2803</v>
      </c>
      <c r="I220" s="120">
        <f t="shared" si="39"/>
        <v>13821</v>
      </c>
      <c r="J220" s="120"/>
      <c r="K220" s="117"/>
      <c r="L220" s="243">
        <f t="shared" si="33"/>
        <v>2803</v>
      </c>
      <c r="M220" s="243">
        <f t="shared" si="34"/>
        <v>2803</v>
      </c>
      <c r="N220" s="243">
        <f t="shared" si="35"/>
        <v>2803</v>
      </c>
      <c r="O220" s="243">
        <f t="shared" si="36"/>
        <v>2803</v>
      </c>
      <c r="P220" s="244">
        <f t="shared" si="37"/>
        <v>2609</v>
      </c>
      <c r="Q220" s="141">
        <f t="shared" si="38"/>
        <v>0</v>
      </c>
    </row>
    <row r="221" spans="1:17">
      <c r="A221" s="195">
        <v>26081</v>
      </c>
      <c r="B221" s="196" t="s">
        <v>212</v>
      </c>
      <c r="C221" s="201">
        <f>VLOOKUP(A221,'Contribution Allocation_Report'!$A$9:$D$314,4,FALSE)</f>
        <v>2.3908391661821701E-3</v>
      </c>
      <c r="D221" s="11"/>
      <c r="E221" s="241">
        <f>VLOOKUP(A221,'Contribution Allocation_Rep 23'!$A$9:$D$312,4,FALSE)</f>
        <v>2.4208055404716282E-3</v>
      </c>
      <c r="F221" s="123"/>
      <c r="G221" s="134">
        <f t="shared" si="31"/>
        <v>-96635</v>
      </c>
      <c r="H221" s="240">
        <f t="shared" si="32"/>
        <v>-16296</v>
      </c>
      <c r="I221" s="120">
        <f t="shared" si="39"/>
        <v>-80339</v>
      </c>
      <c r="J221" s="120"/>
      <c r="K221" s="117"/>
      <c r="L221" s="243">
        <f t="shared" si="33"/>
        <v>-16296</v>
      </c>
      <c r="M221" s="243">
        <f t="shared" si="34"/>
        <v>-16296</v>
      </c>
      <c r="N221" s="243">
        <f t="shared" si="35"/>
        <v>-16296</v>
      </c>
      <c r="O221" s="243">
        <f t="shared" si="36"/>
        <v>-16296</v>
      </c>
      <c r="P221" s="244">
        <f t="shared" si="37"/>
        <v>-15155</v>
      </c>
      <c r="Q221" s="141">
        <f t="shared" si="38"/>
        <v>0</v>
      </c>
    </row>
    <row r="222" spans="1:17">
      <c r="A222" s="193">
        <v>29305</v>
      </c>
      <c r="B222" s="194" t="s">
        <v>213</v>
      </c>
      <c r="C222" s="200">
        <f>VLOOKUP(A222,'Contribution Allocation_Report'!$A$9:$D$314,4,FALSE)</f>
        <v>1.587852191885754E-4</v>
      </c>
      <c r="D222" s="11"/>
      <c r="E222" s="241">
        <f>VLOOKUP(A222,'Contribution Allocation_Rep 23'!$A$9:$D$312,4,FALSE)</f>
        <v>1.4152831424918608E-4</v>
      </c>
      <c r="F222" s="123"/>
      <c r="G222" s="134">
        <f t="shared" si="31"/>
        <v>55650</v>
      </c>
      <c r="H222" s="240">
        <f t="shared" si="32"/>
        <v>9384</v>
      </c>
      <c r="I222" s="120">
        <f t="shared" si="39"/>
        <v>46266</v>
      </c>
      <c r="J222" s="120"/>
      <c r="K222" s="117"/>
      <c r="L222" s="243">
        <f t="shared" si="33"/>
        <v>9384</v>
      </c>
      <c r="M222" s="243">
        <f t="shared" si="34"/>
        <v>9384</v>
      </c>
      <c r="N222" s="243">
        <f t="shared" si="35"/>
        <v>9384</v>
      </c>
      <c r="O222" s="243">
        <f t="shared" si="36"/>
        <v>9384</v>
      </c>
      <c r="P222" s="244">
        <f t="shared" si="37"/>
        <v>8730</v>
      </c>
      <c r="Q222" s="141">
        <f t="shared" si="38"/>
        <v>0</v>
      </c>
    </row>
    <row r="223" spans="1:17">
      <c r="A223" s="195">
        <v>10032</v>
      </c>
      <c r="B223" s="196" t="s">
        <v>214</v>
      </c>
      <c r="C223" s="201">
        <f>VLOOKUP(A223,'Contribution Allocation_Report'!$A$9:$D$314,4,FALSE)</f>
        <v>2.9565630364168557E-4</v>
      </c>
      <c r="D223" s="11"/>
      <c r="E223" s="241">
        <f>VLOOKUP(A223,'Contribution Allocation_Rep 23'!$A$9:$D$312,4,FALSE)</f>
        <v>2.5923140059225729E-4</v>
      </c>
      <c r="F223" s="123"/>
      <c r="G223" s="134">
        <f t="shared" si="31"/>
        <v>117462</v>
      </c>
      <c r="H223" s="240">
        <f t="shared" si="32"/>
        <v>19808</v>
      </c>
      <c r="I223" s="120">
        <f t="shared" si="39"/>
        <v>97654</v>
      </c>
      <c r="J223" s="120"/>
      <c r="K223" s="117"/>
      <c r="L223" s="243">
        <f t="shared" si="33"/>
        <v>19808</v>
      </c>
      <c r="M223" s="243">
        <f t="shared" si="34"/>
        <v>19808</v>
      </c>
      <c r="N223" s="243">
        <f t="shared" si="35"/>
        <v>19808</v>
      </c>
      <c r="O223" s="243">
        <f t="shared" si="36"/>
        <v>19808</v>
      </c>
      <c r="P223" s="244">
        <f t="shared" si="37"/>
        <v>18422</v>
      </c>
      <c r="Q223" s="141">
        <f t="shared" si="38"/>
        <v>0</v>
      </c>
    </row>
    <row r="224" spans="1:17">
      <c r="A224" s="193">
        <v>32107</v>
      </c>
      <c r="B224" s="194" t="s">
        <v>215</v>
      </c>
      <c r="C224" s="200">
        <f>VLOOKUP(A224,'Contribution Allocation_Report'!$A$9:$D$314,4,FALSE)</f>
        <v>3.7421270565828535E-4</v>
      </c>
      <c r="D224" s="11"/>
      <c r="E224" s="241">
        <f>VLOOKUP(A224,'Contribution Allocation_Rep 23'!$A$9:$D$312,4,FALSE)</f>
        <v>3.6858823633868288E-4</v>
      </c>
      <c r="F224" s="123"/>
      <c r="G224" s="134">
        <f t="shared" si="31"/>
        <v>18138</v>
      </c>
      <c r="H224" s="240">
        <f t="shared" si="32"/>
        <v>3059</v>
      </c>
      <c r="I224" s="120">
        <f t="shared" si="39"/>
        <v>15079</v>
      </c>
      <c r="J224" s="120"/>
      <c r="K224" s="117"/>
      <c r="L224" s="243">
        <f t="shared" si="33"/>
        <v>3059</v>
      </c>
      <c r="M224" s="243">
        <f t="shared" si="34"/>
        <v>3059</v>
      </c>
      <c r="N224" s="243">
        <f t="shared" si="35"/>
        <v>3059</v>
      </c>
      <c r="O224" s="243">
        <f t="shared" si="36"/>
        <v>3059</v>
      </c>
      <c r="P224" s="244">
        <f t="shared" si="37"/>
        <v>2843</v>
      </c>
      <c r="Q224" s="141">
        <f t="shared" si="38"/>
        <v>0</v>
      </c>
    </row>
    <row r="225" spans="1:17">
      <c r="A225" s="195">
        <v>3260</v>
      </c>
      <c r="B225" s="196" t="s">
        <v>216</v>
      </c>
      <c r="C225" s="201">
        <f>VLOOKUP(A225,'Contribution Allocation_Report'!$A$9:$D$314,4,FALSE)</f>
        <v>5.2420557512390343E-3</v>
      </c>
      <c r="D225" s="11"/>
      <c r="E225" s="241">
        <f>VLOOKUP(A225,'Contribution Allocation_Rep 23'!$A$9:$D$312,4,FALSE)</f>
        <v>5.350077588264634E-3</v>
      </c>
      <c r="F225" s="123"/>
      <c r="G225" s="134">
        <f t="shared" si="31"/>
        <v>-348345</v>
      </c>
      <c r="H225" s="240">
        <f t="shared" si="32"/>
        <v>-58743</v>
      </c>
      <c r="I225" s="120">
        <f t="shared" si="39"/>
        <v>-289602</v>
      </c>
      <c r="J225" s="120"/>
      <c r="K225" s="117"/>
      <c r="L225" s="243">
        <f t="shared" si="33"/>
        <v>-58743</v>
      </c>
      <c r="M225" s="243">
        <f t="shared" si="34"/>
        <v>-58743</v>
      </c>
      <c r="N225" s="243">
        <f t="shared" si="35"/>
        <v>-58743</v>
      </c>
      <c r="O225" s="243">
        <f t="shared" si="36"/>
        <v>-58743</v>
      </c>
      <c r="P225" s="244">
        <f t="shared" si="37"/>
        <v>-54630</v>
      </c>
      <c r="Q225" s="141">
        <f t="shared" si="38"/>
        <v>0</v>
      </c>
    </row>
    <row r="226" spans="1:17">
      <c r="A226" s="193">
        <v>4390</v>
      </c>
      <c r="B226" s="194" t="s">
        <v>217</v>
      </c>
      <c r="C226" s="200">
        <f>VLOOKUP(A226,'Contribution Allocation_Report'!$A$9:$D$314,4,FALSE)</f>
        <v>5.6885670425813621E-5</v>
      </c>
      <c r="D226" s="11"/>
      <c r="E226" s="241">
        <f>VLOOKUP(A226,'Contribution Allocation_Rep 23'!$A$9:$D$312,4,FALSE)</f>
        <v>4.4586089745888187E-5</v>
      </c>
      <c r="F226" s="123"/>
      <c r="G226" s="134">
        <f t="shared" si="31"/>
        <v>39663</v>
      </c>
      <c r="H226" s="240">
        <f t="shared" si="32"/>
        <v>6689</v>
      </c>
      <c r="I226" s="120">
        <f t="shared" si="39"/>
        <v>32974</v>
      </c>
      <c r="J226" s="120"/>
      <c r="K226" s="117"/>
      <c r="L226" s="243">
        <f t="shared" si="33"/>
        <v>6689</v>
      </c>
      <c r="M226" s="243">
        <f t="shared" si="34"/>
        <v>6689</v>
      </c>
      <c r="N226" s="243">
        <f t="shared" si="35"/>
        <v>6689</v>
      </c>
      <c r="O226" s="243">
        <f t="shared" si="36"/>
        <v>6689</v>
      </c>
      <c r="P226" s="244">
        <f t="shared" si="37"/>
        <v>6218</v>
      </c>
      <c r="Q226" s="141">
        <f t="shared" si="38"/>
        <v>0</v>
      </c>
    </row>
    <row r="227" spans="1:17">
      <c r="A227" s="195">
        <v>3270</v>
      </c>
      <c r="B227" s="196" t="s">
        <v>218</v>
      </c>
      <c r="C227" s="201">
        <f>VLOOKUP(A227,'Contribution Allocation_Report'!$A$9:$D$314,4,FALSE)</f>
        <v>7.9720811253887296E-4</v>
      </c>
      <c r="D227" s="11"/>
      <c r="E227" s="241">
        <f>VLOOKUP(A227,'Contribution Allocation_Rep 23'!$A$9:$D$312,4,FALSE)</f>
        <v>8.8818598791813878E-4</v>
      </c>
      <c r="F227" s="123"/>
      <c r="G227" s="134">
        <f t="shared" si="31"/>
        <v>-293383</v>
      </c>
      <c r="H227" s="240">
        <f t="shared" si="32"/>
        <v>-49474</v>
      </c>
      <c r="I227" s="120">
        <f t="shared" si="39"/>
        <v>-243909</v>
      </c>
      <c r="J227" s="120"/>
      <c r="K227" s="117"/>
      <c r="L227" s="243">
        <f t="shared" si="33"/>
        <v>-49474</v>
      </c>
      <c r="M227" s="243">
        <f t="shared" si="34"/>
        <v>-49474</v>
      </c>
      <c r="N227" s="243">
        <f t="shared" si="35"/>
        <v>-49474</v>
      </c>
      <c r="O227" s="243">
        <f t="shared" si="36"/>
        <v>-49474</v>
      </c>
      <c r="P227" s="244">
        <f t="shared" si="37"/>
        <v>-46013</v>
      </c>
      <c r="Q227" s="141">
        <f t="shared" si="38"/>
        <v>0</v>
      </c>
    </row>
    <row r="228" spans="1:17">
      <c r="A228" s="193">
        <v>29303</v>
      </c>
      <c r="B228" s="194" t="s">
        <v>219</v>
      </c>
      <c r="C228" s="200">
        <f>VLOOKUP(A228,'Contribution Allocation_Report'!$A$9:$D$314,4,FALSE)</f>
        <v>2.8488375156104841E-4</v>
      </c>
      <c r="D228" s="11"/>
      <c r="E228" s="241">
        <f>VLOOKUP(A228,'Contribution Allocation_Rep 23'!$A$9:$D$312,4,FALSE)</f>
        <v>2.8268995221692958E-4</v>
      </c>
      <c r="F228" s="123"/>
      <c r="G228" s="134">
        <f t="shared" si="31"/>
        <v>7074</v>
      </c>
      <c r="H228" s="240">
        <f t="shared" si="32"/>
        <v>1193</v>
      </c>
      <c r="I228" s="120">
        <f t="shared" si="39"/>
        <v>5881</v>
      </c>
      <c r="J228" s="120"/>
      <c r="K228" s="117"/>
      <c r="L228" s="243">
        <f t="shared" si="33"/>
        <v>1193</v>
      </c>
      <c r="M228" s="243">
        <f t="shared" si="34"/>
        <v>1193</v>
      </c>
      <c r="N228" s="243">
        <f t="shared" si="35"/>
        <v>1193</v>
      </c>
      <c r="O228" s="243">
        <f t="shared" si="36"/>
        <v>1193</v>
      </c>
      <c r="P228" s="244">
        <f t="shared" si="37"/>
        <v>1109</v>
      </c>
      <c r="Q228" s="141">
        <f t="shared" si="38"/>
        <v>0</v>
      </c>
    </row>
    <row r="229" spans="1:17">
      <c r="A229" s="195">
        <v>3280</v>
      </c>
      <c r="B229" s="196" t="s">
        <v>423</v>
      </c>
      <c r="C229" s="201">
        <f>VLOOKUP(A229,'Contribution Allocation_Report'!$A$9:$D$314,4,FALSE)</f>
        <v>4.0149427231964243E-3</v>
      </c>
      <c r="D229" s="11"/>
      <c r="E229" s="241">
        <f>VLOOKUP(A229,'Contribution Allocation_Rep 23'!$A$9:$D$312,4,FALSE)</f>
        <v>3.9407573005400421E-3</v>
      </c>
      <c r="F229" s="123"/>
      <c r="G229" s="134">
        <f t="shared" si="31"/>
        <v>239231</v>
      </c>
      <c r="H229" s="240">
        <f t="shared" si="32"/>
        <v>40342</v>
      </c>
      <c r="I229" s="120">
        <f t="shared" si="39"/>
        <v>198889</v>
      </c>
      <c r="J229" s="120"/>
      <c r="K229" s="117"/>
      <c r="L229" s="243">
        <f t="shared" si="33"/>
        <v>40342</v>
      </c>
      <c r="M229" s="243">
        <f t="shared" si="34"/>
        <v>40342</v>
      </c>
      <c r="N229" s="243">
        <f t="shared" si="35"/>
        <v>40342</v>
      </c>
      <c r="O229" s="243">
        <f t="shared" si="36"/>
        <v>40342</v>
      </c>
      <c r="P229" s="244">
        <f t="shared" si="37"/>
        <v>37521</v>
      </c>
      <c r="Q229" s="141">
        <f t="shared" si="38"/>
        <v>0</v>
      </c>
    </row>
    <row r="230" spans="1:17">
      <c r="A230" s="193">
        <v>4260</v>
      </c>
      <c r="B230" s="194" t="s">
        <v>221</v>
      </c>
      <c r="C230" s="200">
        <f>VLOOKUP(A230,'Contribution Allocation_Report'!$A$9:$D$314,4,FALSE)</f>
        <v>3.1162669061837359E-4</v>
      </c>
      <c r="D230" s="11"/>
      <c r="E230" s="241">
        <f>VLOOKUP(A230,'Contribution Allocation_Rep 23'!$A$9:$D$312,4,FALSE)</f>
        <v>3.0269127033085753E-4</v>
      </c>
      <c r="F230" s="123"/>
      <c r="G230" s="134">
        <f t="shared" si="31"/>
        <v>28815</v>
      </c>
      <c r="H230" s="240">
        <f t="shared" si="32"/>
        <v>4859</v>
      </c>
      <c r="I230" s="120">
        <f t="shared" si="39"/>
        <v>23956</v>
      </c>
      <c r="J230" s="120"/>
      <c r="K230" s="117"/>
      <c r="L230" s="243">
        <f t="shared" si="33"/>
        <v>4859</v>
      </c>
      <c r="M230" s="243">
        <f t="shared" si="34"/>
        <v>4859</v>
      </c>
      <c r="N230" s="243">
        <f t="shared" si="35"/>
        <v>4859</v>
      </c>
      <c r="O230" s="243">
        <f t="shared" si="36"/>
        <v>4859</v>
      </c>
      <c r="P230" s="244">
        <f t="shared" si="37"/>
        <v>4520</v>
      </c>
      <c r="Q230" s="141">
        <f t="shared" si="38"/>
        <v>0</v>
      </c>
    </row>
    <row r="231" spans="1:17">
      <c r="A231" s="195">
        <v>1003</v>
      </c>
      <c r="B231" s="196" t="s">
        <v>222</v>
      </c>
      <c r="C231" s="201">
        <f>VLOOKUP(A231,'Contribution Allocation_Report'!$A$9:$D$314,4,FALSE)</f>
        <v>4.4615168282535088E-3</v>
      </c>
      <c r="D231" s="11"/>
      <c r="E231" s="241">
        <f>VLOOKUP(A231,'Contribution Allocation_Rep 23'!$A$9:$D$312,4,FALSE)</f>
        <v>4.365717649956696E-3</v>
      </c>
      <c r="F231" s="123"/>
      <c r="G231" s="134">
        <f t="shared" si="31"/>
        <v>308930</v>
      </c>
      <c r="H231" s="240">
        <f t="shared" si="32"/>
        <v>52096</v>
      </c>
      <c r="I231" s="120">
        <f t="shared" si="39"/>
        <v>256834</v>
      </c>
      <c r="J231" s="120"/>
      <c r="K231" s="117"/>
      <c r="L231" s="243">
        <f t="shared" si="33"/>
        <v>52096</v>
      </c>
      <c r="M231" s="243">
        <f t="shared" si="34"/>
        <v>52096</v>
      </c>
      <c r="N231" s="243">
        <f t="shared" si="35"/>
        <v>52096</v>
      </c>
      <c r="O231" s="243">
        <f t="shared" si="36"/>
        <v>52096</v>
      </c>
      <c r="P231" s="244">
        <f t="shared" si="37"/>
        <v>48450</v>
      </c>
      <c r="Q231" s="141">
        <f t="shared" si="38"/>
        <v>0</v>
      </c>
    </row>
    <row r="232" spans="1:17">
      <c r="A232" s="193">
        <v>3290</v>
      </c>
      <c r="B232" s="194" t="s">
        <v>223</v>
      </c>
      <c r="C232" s="200">
        <f>VLOOKUP(A232,'Contribution Allocation_Report'!$A$9:$D$314,4,FALSE)</f>
        <v>9.0881866160289725E-3</v>
      </c>
      <c r="D232" s="11"/>
      <c r="E232" s="241">
        <f>VLOOKUP(A232,'Contribution Allocation_Rep 23'!$A$9:$D$312,4,FALSE)</f>
        <v>8.1849217631985195E-3</v>
      </c>
      <c r="F232" s="123"/>
      <c r="G232" s="134">
        <f t="shared" si="31"/>
        <v>2912820</v>
      </c>
      <c r="H232" s="240">
        <f t="shared" si="32"/>
        <v>491201</v>
      </c>
      <c r="I232" s="120">
        <f t="shared" si="39"/>
        <v>2421619</v>
      </c>
      <c r="J232" s="120"/>
      <c r="K232" s="117"/>
      <c r="L232" s="243">
        <f t="shared" si="33"/>
        <v>491201</v>
      </c>
      <c r="M232" s="243">
        <f t="shared" si="34"/>
        <v>491201</v>
      </c>
      <c r="N232" s="243">
        <f t="shared" si="35"/>
        <v>491201</v>
      </c>
      <c r="O232" s="243">
        <f t="shared" si="36"/>
        <v>491201</v>
      </c>
      <c r="P232" s="244">
        <f t="shared" si="37"/>
        <v>456815</v>
      </c>
      <c r="Q232" s="141">
        <f t="shared" si="38"/>
        <v>0</v>
      </c>
    </row>
    <row r="233" spans="1:17">
      <c r="A233" s="195">
        <v>1002</v>
      </c>
      <c r="B233" s="196" t="s">
        <v>224</v>
      </c>
      <c r="C233" s="201">
        <f>VLOOKUP(A233,'Contribution Allocation_Report'!$A$9:$D$314,4,FALSE)</f>
        <v>1.6149578801457946E-2</v>
      </c>
      <c r="D233" s="11"/>
      <c r="E233" s="241">
        <f>VLOOKUP(A233,'Contribution Allocation_Rep 23'!$A$9:$D$312,4,FALSE)</f>
        <v>1.6879925155434294E-2</v>
      </c>
      <c r="F233" s="123"/>
      <c r="G233" s="134">
        <f t="shared" si="31"/>
        <v>-2355198</v>
      </c>
      <c r="H233" s="240">
        <f t="shared" si="32"/>
        <v>-397167</v>
      </c>
      <c r="I233" s="120">
        <f t="shared" si="39"/>
        <v>-1958031</v>
      </c>
      <c r="J233" s="120"/>
      <c r="K233" s="117"/>
      <c r="L233" s="243">
        <f t="shared" si="33"/>
        <v>-397167</v>
      </c>
      <c r="M233" s="243">
        <f t="shared" si="34"/>
        <v>-397167</v>
      </c>
      <c r="N233" s="243">
        <f t="shared" si="35"/>
        <v>-397167</v>
      </c>
      <c r="O233" s="243">
        <f t="shared" si="36"/>
        <v>-397167</v>
      </c>
      <c r="P233" s="244">
        <f t="shared" si="37"/>
        <v>-369363</v>
      </c>
      <c r="Q233" s="141">
        <f t="shared" si="38"/>
        <v>0</v>
      </c>
    </row>
    <row r="234" spans="1:17" s="191" customFormat="1">
      <c r="A234" s="193">
        <v>4270</v>
      </c>
      <c r="B234" s="194" t="s">
        <v>424</v>
      </c>
      <c r="C234" s="200">
        <f>VLOOKUP(A234,'Contribution Allocation_Report'!$A$9:$D$314,4,FALSE)</f>
        <v>3.3862873624906692E-4</v>
      </c>
      <c r="D234" s="11"/>
      <c r="E234" s="241">
        <f>VLOOKUP(A234,'Contribution Allocation_Rep 23'!$A$9:$D$312,4,FALSE)</f>
        <v>3.3468814108055011E-4</v>
      </c>
      <c r="F234" s="123"/>
      <c r="G234" s="242">
        <f t="shared" si="31"/>
        <v>12708</v>
      </c>
      <c r="H234" s="240">
        <f t="shared" si="32"/>
        <v>2143</v>
      </c>
      <c r="I234" s="240">
        <f t="shared" ref="I234" si="40">G234-H234</f>
        <v>10565</v>
      </c>
      <c r="J234" s="240"/>
      <c r="K234" s="117"/>
      <c r="L234" s="243">
        <f t="shared" si="33"/>
        <v>2143</v>
      </c>
      <c r="M234" s="243">
        <f t="shared" si="34"/>
        <v>2143</v>
      </c>
      <c r="N234" s="243">
        <f t="shared" si="35"/>
        <v>2143</v>
      </c>
      <c r="O234" s="243">
        <f t="shared" si="36"/>
        <v>2143</v>
      </c>
      <c r="P234" s="244">
        <f t="shared" si="37"/>
        <v>1993</v>
      </c>
      <c r="Q234" s="244">
        <f t="shared" ref="Q234" si="41">+I234-SUM(L234:P234)</f>
        <v>0</v>
      </c>
    </row>
    <row r="235" spans="1:17">
      <c r="A235" s="195">
        <v>24072</v>
      </c>
      <c r="B235" s="196" t="s">
        <v>225</v>
      </c>
      <c r="C235" s="201">
        <f>VLOOKUP(A235,'Contribution Allocation_Report'!$A$9:$D$314,4,FALSE)</f>
        <v>1.2120769950729159E-3</v>
      </c>
      <c r="D235" s="11"/>
      <c r="E235" s="241">
        <f>VLOOKUP(A235,'Contribution Allocation_Rep 23'!$A$9:$D$312,4,FALSE)</f>
        <v>1.2394967870907529E-3</v>
      </c>
      <c r="F235" s="123"/>
      <c r="G235" s="134">
        <f t="shared" si="31"/>
        <v>-88422</v>
      </c>
      <c r="H235" s="240">
        <f t="shared" si="32"/>
        <v>-14911</v>
      </c>
      <c r="I235" s="120">
        <f t="shared" si="39"/>
        <v>-73511</v>
      </c>
      <c r="J235" s="120"/>
      <c r="K235" s="117"/>
      <c r="L235" s="243">
        <f t="shared" si="33"/>
        <v>-14911</v>
      </c>
      <c r="M235" s="243">
        <f t="shared" si="34"/>
        <v>-14911</v>
      </c>
      <c r="N235" s="243">
        <f t="shared" si="35"/>
        <v>-14911</v>
      </c>
      <c r="O235" s="243">
        <f t="shared" si="36"/>
        <v>-14911</v>
      </c>
      <c r="P235" s="244">
        <f t="shared" si="37"/>
        <v>-13867</v>
      </c>
      <c r="Q235" s="141">
        <f t="shared" si="38"/>
        <v>0</v>
      </c>
    </row>
    <row r="236" spans="1:17">
      <c r="A236" s="193">
        <v>14366</v>
      </c>
      <c r="B236" s="194" t="s">
        <v>226</v>
      </c>
      <c r="C236" s="200">
        <f>VLOOKUP(A236,'Contribution Allocation_Report'!$A$9:$D$314,4,FALSE)</f>
        <v>7.6489830801130588E-4</v>
      </c>
      <c r="D236" s="11"/>
      <c r="E236" s="241">
        <f>VLOOKUP(A236,'Contribution Allocation_Rep 23'!$A$9:$D$312,4,FALSE)</f>
        <v>8.2493432936929208E-4</v>
      </c>
      <c r="F236" s="123"/>
      <c r="G236" s="134">
        <f t="shared" si="31"/>
        <v>-193602</v>
      </c>
      <c r="H236" s="240">
        <f t="shared" si="32"/>
        <v>-32648</v>
      </c>
      <c r="I236" s="120">
        <f t="shared" si="39"/>
        <v>-160954</v>
      </c>
      <c r="J236" s="120"/>
      <c r="K236" s="117"/>
      <c r="L236" s="243">
        <f t="shared" si="33"/>
        <v>-32648</v>
      </c>
      <c r="M236" s="243">
        <f t="shared" si="34"/>
        <v>-32648</v>
      </c>
      <c r="N236" s="243">
        <f t="shared" si="35"/>
        <v>-32648</v>
      </c>
      <c r="O236" s="243">
        <f t="shared" si="36"/>
        <v>-32648</v>
      </c>
      <c r="P236" s="244">
        <f t="shared" si="37"/>
        <v>-30362</v>
      </c>
      <c r="Q236" s="141">
        <f t="shared" si="38"/>
        <v>0</v>
      </c>
    </row>
    <row r="237" spans="1:17">
      <c r="A237" s="195">
        <v>4317</v>
      </c>
      <c r="B237" s="196" t="s">
        <v>227</v>
      </c>
      <c r="C237" s="201">
        <f>VLOOKUP(A237,'Contribution Allocation_Report'!$A$9:$D$314,4,FALSE)</f>
        <v>2.1300915845160769E-4</v>
      </c>
      <c r="D237" s="11"/>
      <c r="E237" s="241">
        <f>VLOOKUP(A237,'Contribution Allocation_Rep 23'!$A$9:$D$312,4,FALSE)</f>
        <v>2.1959544064584403E-4</v>
      </c>
      <c r="F237" s="123"/>
      <c r="G237" s="134">
        <f t="shared" si="31"/>
        <v>-21239</v>
      </c>
      <c r="H237" s="240">
        <f t="shared" si="32"/>
        <v>-3582</v>
      </c>
      <c r="I237" s="120">
        <f t="shared" si="39"/>
        <v>-17657</v>
      </c>
      <c r="J237" s="120"/>
      <c r="K237" s="117"/>
      <c r="L237" s="243">
        <f t="shared" si="33"/>
        <v>-3582</v>
      </c>
      <c r="M237" s="243">
        <f t="shared" si="34"/>
        <v>-3582</v>
      </c>
      <c r="N237" s="243">
        <f t="shared" si="35"/>
        <v>-3582</v>
      </c>
      <c r="O237" s="243">
        <f t="shared" si="36"/>
        <v>-3582</v>
      </c>
      <c r="P237" s="244">
        <f t="shared" si="37"/>
        <v>-3329</v>
      </c>
      <c r="Q237" s="141">
        <f t="shared" si="38"/>
        <v>0</v>
      </c>
    </row>
    <row r="238" spans="1:17">
      <c r="A238" s="193">
        <v>32120</v>
      </c>
      <c r="B238" s="194" t="s">
        <v>228</v>
      </c>
      <c r="C238" s="200">
        <f>VLOOKUP(A238,'Contribution Allocation_Report'!$A$9:$D$314,4,FALSE)</f>
        <v>4.2354502688470177E-4</v>
      </c>
      <c r="D238" s="11"/>
      <c r="E238" s="241">
        <f>VLOOKUP(A238,'Contribution Allocation_Rep 23'!$A$9:$D$312,4,FALSE)</f>
        <v>3.1246057411500648E-4</v>
      </c>
      <c r="F238" s="123"/>
      <c r="G238" s="134">
        <f t="shared" si="31"/>
        <v>358222</v>
      </c>
      <c r="H238" s="240">
        <f t="shared" si="32"/>
        <v>60408</v>
      </c>
      <c r="I238" s="120">
        <f t="shared" si="39"/>
        <v>297814</v>
      </c>
      <c r="J238" s="120"/>
      <c r="K238" s="117"/>
      <c r="L238" s="243">
        <f t="shared" si="33"/>
        <v>60408</v>
      </c>
      <c r="M238" s="243">
        <f t="shared" si="34"/>
        <v>60408</v>
      </c>
      <c r="N238" s="243">
        <f t="shared" si="35"/>
        <v>60408</v>
      </c>
      <c r="O238" s="243">
        <f t="shared" si="36"/>
        <v>60408</v>
      </c>
      <c r="P238" s="244">
        <f t="shared" si="37"/>
        <v>56182</v>
      </c>
      <c r="Q238" s="141">
        <f t="shared" si="38"/>
        <v>0</v>
      </c>
    </row>
    <row r="239" spans="1:17">
      <c r="A239" s="195">
        <v>3300</v>
      </c>
      <c r="B239" s="196" t="s">
        <v>425</v>
      </c>
      <c r="C239" s="201">
        <f>VLOOKUP(A239,'Contribution Allocation_Report'!$A$9:$D$314,4,FALSE)</f>
        <v>6.127791943012006E-4</v>
      </c>
      <c r="D239" s="11"/>
      <c r="E239" s="241">
        <f>VLOOKUP(A239,'Contribution Allocation_Rep 23'!$A$9:$D$312,4,FALSE)</f>
        <v>5.8519788440706579E-4</v>
      </c>
      <c r="F239" s="123"/>
      <c r="G239" s="134">
        <f t="shared" si="31"/>
        <v>88943</v>
      </c>
      <c r="H239" s="240">
        <f t="shared" si="32"/>
        <v>14999</v>
      </c>
      <c r="I239" s="120">
        <f t="shared" si="39"/>
        <v>73944</v>
      </c>
      <c r="J239" s="120"/>
      <c r="K239" s="117"/>
      <c r="L239" s="243">
        <f t="shared" si="33"/>
        <v>14999</v>
      </c>
      <c r="M239" s="243">
        <f t="shared" si="34"/>
        <v>14999</v>
      </c>
      <c r="N239" s="243">
        <f t="shared" si="35"/>
        <v>14999</v>
      </c>
      <c r="O239" s="243">
        <f t="shared" si="36"/>
        <v>14999</v>
      </c>
      <c r="P239" s="244">
        <f t="shared" si="37"/>
        <v>13948</v>
      </c>
      <c r="Q239" s="141">
        <f t="shared" si="38"/>
        <v>0</v>
      </c>
    </row>
    <row r="240" spans="1:17">
      <c r="A240" s="193">
        <v>8026</v>
      </c>
      <c r="B240" s="194" t="s">
        <v>230</v>
      </c>
      <c r="C240" s="200">
        <f>VLOOKUP(A240,'Contribution Allocation_Report'!$A$9:$D$314,4,FALSE)</f>
        <v>3.280014408838028E-3</v>
      </c>
      <c r="D240" s="11"/>
      <c r="E240" s="241">
        <f>VLOOKUP(A240,'Contribution Allocation_Rep 23'!$A$9:$D$312,4,FALSE)</f>
        <v>3.3539181032541374E-3</v>
      </c>
      <c r="F240" s="123"/>
      <c r="G240" s="134">
        <f t="shared" si="31"/>
        <v>-238322</v>
      </c>
      <c r="H240" s="240">
        <f t="shared" si="32"/>
        <v>-40189</v>
      </c>
      <c r="I240" s="120">
        <f t="shared" si="39"/>
        <v>-198133</v>
      </c>
      <c r="J240" s="120"/>
      <c r="K240" s="117"/>
      <c r="L240" s="243">
        <f t="shared" si="33"/>
        <v>-40189</v>
      </c>
      <c r="M240" s="243">
        <f t="shared" si="34"/>
        <v>-40189</v>
      </c>
      <c r="N240" s="243">
        <f t="shared" si="35"/>
        <v>-40189</v>
      </c>
      <c r="O240" s="243">
        <f t="shared" si="36"/>
        <v>-40189</v>
      </c>
      <c r="P240" s="244">
        <f t="shared" si="37"/>
        <v>-37377</v>
      </c>
      <c r="Q240" s="141">
        <f t="shared" si="38"/>
        <v>0</v>
      </c>
    </row>
    <row r="241" spans="1:17">
      <c r="A241" s="195">
        <v>32119</v>
      </c>
      <c r="B241" s="196" t="s">
        <v>231</v>
      </c>
      <c r="C241" s="201">
        <f>VLOOKUP(A241,'Contribution Allocation_Report'!$A$9:$D$314,4,FALSE)</f>
        <v>9.9002266169645825E-5</v>
      </c>
      <c r="D241" s="11"/>
      <c r="E241" s="241">
        <f>VLOOKUP(A241,'Contribution Allocation_Rep 23'!$A$9:$D$312,4,FALSE)</f>
        <v>1.3169789775146335E-4</v>
      </c>
      <c r="F241" s="123"/>
      <c r="G241" s="134">
        <f t="shared" si="31"/>
        <v>-105436</v>
      </c>
      <c r="H241" s="240">
        <f t="shared" si="32"/>
        <v>-17780</v>
      </c>
      <c r="I241" s="120">
        <f t="shared" si="39"/>
        <v>-87656</v>
      </c>
      <c r="J241" s="120"/>
      <c r="K241" s="117"/>
      <c r="L241" s="243">
        <f t="shared" si="33"/>
        <v>-17780</v>
      </c>
      <c r="M241" s="243">
        <f t="shared" si="34"/>
        <v>-17780</v>
      </c>
      <c r="N241" s="243">
        <f t="shared" si="35"/>
        <v>-17780</v>
      </c>
      <c r="O241" s="243">
        <f t="shared" si="36"/>
        <v>-17780</v>
      </c>
      <c r="P241" s="244">
        <f t="shared" si="37"/>
        <v>-16536</v>
      </c>
      <c r="Q241" s="141">
        <f t="shared" si="38"/>
        <v>0</v>
      </c>
    </row>
    <row r="242" spans="1:17">
      <c r="A242" s="193">
        <v>25076</v>
      </c>
      <c r="B242" s="194" t="s">
        <v>232</v>
      </c>
      <c r="C242" s="200">
        <f>VLOOKUP(A242,'Contribution Allocation_Report'!$A$9:$D$314,4,FALSE)</f>
        <v>2.0656996751769333E-3</v>
      </c>
      <c r="D242" s="11"/>
      <c r="E242" s="241">
        <f>VLOOKUP(A242,'Contribution Allocation_Rep 23'!$A$9:$D$312,4,FALSE)</f>
        <v>2.1356099669981744E-3</v>
      </c>
      <c r="F242" s="123"/>
      <c r="G242" s="134">
        <f t="shared" si="31"/>
        <v>-225444</v>
      </c>
      <c r="H242" s="240">
        <f t="shared" si="32"/>
        <v>-38018</v>
      </c>
      <c r="I242" s="120">
        <f t="shared" si="39"/>
        <v>-187426</v>
      </c>
      <c r="J242" s="120"/>
      <c r="K242" s="117"/>
      <c r="L242" s="243">
        <f t="shared" si="33"/>
        <v>-38018</v>
      </c>
      <c r="M242" s="243">
        <f t="shared" si="34"/>
        <v>-38018</v>
      </c>
      <c r="N242" s="243">
        <f t="shared" si="35"/>
        <v>-38018</v>
      </c>
      <c r="O242" s="243">
        <f t="shared" si="36"/>
        <v>-38018</v>
      </c>
      <c r="P242" s="244">
        <f t="shared" si="37"/>
        <v>-35354</v>
      </c>
      <c r="Q242" s="141">
        <f t="shared" si="38"/>
        <v>0</v>
      </c>
    </row>
    <row r="243" spans="1:17">
      <c r="A243" s="195">
        <v>2440</v>
      </c>
      <c r="B243" s="196" t="s">
        <v>401</v>
      </c>
      <c r="C243" s="201">
        <f>VLOOKUP(A243,'Contribution Allocation_Report'!$A$9:$D$314,4,FALSE)</f>
        <v>4.8116875845889722E-4</v>
      </c>
      <c r="D243" s="11"/>
      <c r="E243" s="241">
        <f>VLOOKUP(A243,'Contribution Allocation_Rep 23'!$A$9:$D$312,4,FALSE)</f>
        <v>3.4002240793677447E-4</v>
      </c>
      <c r="F243" s="123"/>
      <c r="G243" s="134">
        <f t="shared" si="31"/>
        <v>455164</v>
      </c>
      <c r="H243" s="240">
        <f t="shared" si="32"/>
        <v>76756</v>
      </c>
      <c r="I243" s="120">
        <f t="shared" si="39"/>
        <v>378408</v>
      </c>
      <c r="J243" s="120"/>
      <c r="K243" s="117"/>
      <c r="L243" s="243">
        <f t="shared" si="33"/>
        <v>76756</v>
      </c>
      <c r="M243" s="243">
        <f t="shared" si="34"/>
        <v>76756</v>
      </c>
      <c r="N243" s="243">
        <f t="shared" si="35"/>
        <v>76756</v>
      </c>
      <c r="O243" s="243">
        <f t="shared" si="36"/>
        <v>76756</v>
      </c>
      <c r="P243" s="244">
        <f t="shared" si="37"/>
        <v>71384</v>
      </c>
      <c r="Q243" s="141">
        <f t="shared" si="38"/>
        <v>0</v>
      </c>
    </row>
    <row r="244" spans="1:17">
      <c r="A244" s="193">
        <v>2309</v>
      </c>
      <c r="B244" s="194" t="s">
        <v>233</v>
      </c>
      <c r="C244" s="200">
        <f>VLOOKUP(A244,'Contribution Allocation_Report'!$A$9:$D$314,4,FALSE)</f>
        <v>9.1393169798402755E-4</v>
      </c>
      <c r="D244" s="11"/>
      <c r="E244" s="241">
        <f>VLOOKUP(A244,'Contribution Allocation_Rep 23'!$A$9:$D$312,4,FALSE)</f>
        <v>8.6450044621447816E-4</v>
      </c>
      <c r="F244" s="123"/>
      <c r="G244" s="134">
        <f t="shared" si="31"/>
        <v>159404</v>
      </c>
      <c r="H244" s="240">
        <f t="shared" si="32"/>
        <v>26881</v>
      </c>
      <c r="I244" s="120">
        <f t="shared" si="39"/>
        <v>132523</v>
      </c>
      <c r="J244" s="120"/>
      <c r="K244" s="117"/>
      <c r="L244" s="243">
        <f t="shared" si="33"/>
        <v>26881</v>
      </c>
      <c r="M244" s="243">
        <f t="shared" si="34"/>
        <v>26881</v>
      </c>
      <c r="N244" s="243">
        <f t="shared" si="35"/>
        <v>26881</v>
      </c>
      <c r="O244" s="243">
        <f t="shared" si="36"/>
        <v>26881</v>
      </c>
      <c r="P244" s="244">
        <f t="shared" si="37"/>
        <v>24999</v>
      </c>
      <c r="Q244" s="141">
        <f t="shared" si="38"/>
        <v>0</v>
      </c>
    </row>
    <row r="245" spans="1:17">
      <c r="A245" s="195">
        <v>2396</v>
      </c>
      <c r="B245" s="196" t="s">
        <v>234</v>
      </c>
      <c r="C245" s="201">
        <f>VLOOKUP(A245,'Contribution Allocation_Report'!$A$9:$D$314,4,FALSE)</f>
        <v>2.3193179002182313E-4</v>
      </c>
      <c r="D245" s="11"/>
      <c r="E245" s="241">
        <f>VLOOKUP(A245,'Contribution Allocation_Rep 23'!$A$9:$D$312,4,FALSE)</f>
        <v>2.63203726974552E-4</v>
      </c>
      <c r="F245" s="123"/>
      <c r="G245" s="134">
        <f t="shared" si="31"/>
        <v>-100845</v>
      </c>
      <c r="H245" s="240">
        <f t="shared" si="32"/>
        <v>-17006</v>
      </c>
      <c r="I245" s="120">
        <f t="shared" si="39"/>
        <v>-83839</v>
      </c>
      <c r="J245" s="120"/>
      <c r="K245" s="117"/>
      <c r="L245" s="243">
        <f t="shared" si="33"/>
        <v>-17006</v>
      </c>
      <c r="M245" s="243">
        <f t="shared" si="34"/>
        <v>-17006</v>
      </c>
      <c r="N245" s="243">
        <f t="shared" si="35"/>
        <v>-17006</v>
      </c>
      <c r="O245" s="243">
        <f t="shared" si="36"/>
        <v>-17006</v>
      </c>
      <c r="P245" s="244">
        <f t="shared" si="37"/>
        <v>-15815</v>
      </c>
      <c r="Q245" s="141">
        <f t="shared" si="38"/>
        <v>0</v>
      </c>
    </row>
    <row r="246" spans="1:17">
      <c r="A246" s="193" t="s">
        <v>606</v>
      </c>
      <c r="B246" s="194" t="s">
        <v>484</v>
      </c>
      <c r="C246" s="200">
        <f>VLOOKUP(A246,'Contribution Allocation_Report'!$A$9:$D$314,4,FALSE)</f>
        <v>1.6725800413771212E-3</v>
      </c>
      <c r="D246" s="11"/>
      <c r="E246" s="241">
        <v>0</v>
      </c>
      <c r="F246" s="123"/>
      <c r="G246" s="134">
        <f t="shared" si="31"/>
        <v>5393683</v>
      </c>
      <c r="H246" s="240">
        <f t="shared" si="32"/>
        <v>909559</v>
      </c>
      <c r="I246" s="120">
        <f t="shared" si="39"/>
        <v>4484124</v>
      </c>
      <c r="J246" s="120"/>
      <c r="K246" s="117"/>
      <c r="L246" s="243">
        <f t="shared" si="33"/>
        <v>909559</v>
      </c>
      <c r="M246" s="243">
        <f t="shared" si="34"/>
        <v>909559</v>
      </c>
      <c r="N246" s="243">
        <f t="shared" si="35"/>
        <v>909559</v>
      </c>
      <c r="O246" s="243">
        <f t="shared" si="36"/>
        <v>909559</v>
      </c>
      <c r="P246" s="244">
        <f t="shared" si="37"/>
        <v>845888</v>
      </c>
      <c r="Q246" s="141">
        <f t="shared" si="38"/>
        <v>0</v>
      </c>
    </row>
    <row r="247" spans="1:17">
      <c r="A247" s="195">
        <v>3380</v>
      </c>
      <c r="B247" s="196" t="s">
        <v>235</v>
      </c>
      <c r="C247" s="201">
        <f>VLOOKUP(A247,'Contribution Allocation_Report'!$A$9:$D$314,4,FALSE)</f>
        <v>1.5610778459710509E-4</v>
      </c>
      <c r="D247" s="11"/>
      <c r="E247" s="241">
        <f>VLOOKUP(A247,'Contribution Allocation_Rep 23'!$A$9:$D$312,4,FALSE)</f>
        <v>1.6122406879524518E-4</v>
      </c>
      <c r="F247" s="123"/>
      <c r="G247" s="134">
        <f t="shared" si="31"/>
        <v>-16499</v>
      </c>
      <c r="H247" s="240">
        <f t="shared" si="32"/>
        <v>-2782</v>
      </c>
      <c r="I247" s="120">
        <f t="shared" si="39"/>
        <v>-13717</v>
      </c>
      <c r="J247" s="120"/>
      <c r="K247" s="117"/>
      <c r="L247" s="243">
        <f t="shared" si="33"/>
        <v>-2782</v>
      </c>
      <c r="M247" s="243">
        <f t="shared" si="34"/>
        <v>-2782</v>
      </c>
      <c r="N247" s="243">
        <f t="shared" si="35"/>
        <v>-2782</v>
      </c>
      <c r="O247" s="243">
        <f t="shared" si="36"/>
        <v>-2782</v>
      </c>
      <c r="P247" s="244">
        <f t="shared" si="37"/>
        <v>-2589</v>
      </c>
      <c r="Q247" s="141">
        <f t="shared" si="38"/>
        <v>0</v>
      </c>
    </row>
    <row r="248" spans="1:17">
      <c r="A248" s="193">
        <v>2420</v>
      </c>
      <c r="B248" s="194" t="s">
        <v>236</v>
      </c>
      <c r="C248" s="200">
        <f>VLOOKUP(A248,'Contribution Allocation_Report'!$A$9:$D$314,4,FALSE)</f>
        <v>2.6563134798836447E-4</v>
      </c>
      <c r="D248" s="11"/>
      <c r="E248" s="241">
        <f>VLOOKUP(A248,'Contribution Allocation_Rep 23'!$A$9:$D$312,4,FALSE)</f>
        <v>2.5179311031156473E-4</v>
      </c>
      <c r="F248" s="123"/>
      <c r="G248" s="134">
        <f t="shared" si="31"/>
        <v>44625</v>
      </c>
      <c r="H248" s="240">
        <f t="shared" si="32"/>
        <v>7525</v>
      </c>
      <c r="I248" s="120">
        <f t="shared" si="39"/>
        <v>37100</v>
      </c>
      <c r="J248" s="120"/>
      <c r="K248" s="117"/>
      <c r="L248" s="243">
        <f t="shared" si="33"/>
        <v>7525</v>
      </c>
      <c r="M248" s="243">
        <f t="shared" si="34"/>
        <v>7525</v>
      </c>
      <c r="N248" s="243">
        <f t="shared" si="35"/>
        <v>7525</v>
      </c>
      <c r="O248" s="243">
        <f t="shared" si="36"/>
        <v>7525</v>
      </c>
      <c r="P248" s="244">
        <f t="shared" si="37"/>
        <v>7000</v>
      </c>
      <c r="Q248" s="141">
        <f t="shared" si="38"/>
        <v>0</v>
      </c>
    </row>
    <row r="249" spans="1:17">
      <c r="A249" s="195">
        <v>2740</v>
      </c>
      <c r="B249" s="196" t="s">
        <v>237</v>
      </c>
      <c r="C249" s="201">
        <f>VLOOKUP(A249,'Contribution Allocation_Report'!$A$9:$D$314,4,FALSE)</f>
        <v>2.7504555348740528E-5</v>
      </c>
      <c r="D249" s="11"/>
      <c r="E249" s="241">
        <f>VLOOKUP(A249,'Contribution Allocation_Rep 23'!$A$9:$D$312,4,FALSE)</f>
        <v>4.1155047398103957E-5</v>
      </c>
      <c r="F249" s="123"/>
      <c r="G249" s="134">
        <f t="shared" si="31"/>
        <v>-44020</v>
      </c>
      <c r="H249" s="240">
        <f t="shared" si="32"/>
        <v>-7423</v>
      </c>
      <c r="I249" s="120">
        <f t="shared" si="39"/>
        <v>-36597</v>
      </c>
      <c r="J249" s="120"/>
      <c r="K249" s="117"/>
      <c r="L249" s="243">
        <f t="shared" si="33"/>
        <v>-7423</v>
      </c>
      <c r="M249" s="243">
        <f t="shared" si="34"/>
        <v>-7423</v>
      </c>
      <c r="N249" s="243">
        <f t="shared" si="35"/>
        <v>-7423</v>
      </c>
      <c r="O249" s="243">
        <f t="shared" si="36"/>
        <v>-7423</v>
      </c>
      <c r="P249" s="244">
        <f t="shared" si="37"/>
        <v>-6905</v>
      </c>
      <c r="Q249" s="141">
        <f t="shared" si="38"/>
        <v>0</v>
      </c>
    </row>
    <row r="250" spans="1:17">
      <c r="A250" s="193">
        <v>2346</v>
      </c>
      <c r="B250" s="194" t="s">
        <v>238</v>
      </c>
      <c r="C250" s="200">
        <f>VLOOKUP(A250,'Contribution Allocation_Report'!$A$9:$D$314,4,FALSE)</f>
        <v>1.7207031985944866E-4</v>
      </c>
      <c r="D250" s="11"/>
      <c r="E250" s="241">
        <f>VLOOKUP(A250,'Contribution Allocation_Rep 23'!$A$9:$D$312,4,FALSE)</f>
        <v>2.089094461580886E-4</v>
      </c>
      <c r="F250" s="123"/>
      <c r="G250" s="134">
        <f t="shared" si="31"/>
        <v>-118798</v>
      </c>
      <c r="H250" s="240">
        <f t="shared" si="32"/>
        <v>-20033</v>
      </c>
      <c r="I250" s="120">
        <f t="shared" si="39"/>
        <v>-98765</v>
      </c>
      <c r="J250" s="120"/>
      <c r="K250" s="117"/>
      <c r="L250" s="243">
        <f t="shared" si="33"/>
        <v>-20033</v>
      </c>
      <c r="M250" s="243">
        <f t="shared" si="34"/>
        <v>-20033</v>
      </c>
      <c r="N250" s="243">
        <f t="shared" si="35"/>
        <v>-20033</v>
      </c>
      <c r="O250" s="243">
        <f t="shared" si="36"/>
        <v>-20033</v>
      </c>
      <c r="P250" s="244">
        <f t="shared" si="37"/>
        <v>-18633</v>
      </c>
      <c r="Q250" s="141">
        <f t="shared" si="38"/>
        <v>0</v>
      </c>
    </row>
    <row r="251" spans="1:17">
      <c r="A251" s="195">
        <v>21150</v>
      </c>
      <c r="B251" s="196" t="s">
        <v>239</v>
      </c>
      <c r="C251" s="201">
        <f>VLOOKUP(A251,'Contribution Allocation_Report'!$A$9:$D$314,4,FALSE)</f>
        <v>7.7252232263980353E-4</v>
      </c>
      <c r="D251" s="11"/>
      <c r="E251" s="241">
        <f>VLOOKUP(A251,'Contribution Allocation_Rep 23'!$A$9:$D$312,4,FALSE)</f>
        <v>5.1255232874316615E-4</v>
      </c>
      <c r="F251" s="123"/>
      <c r="G251" s="134">
        <f t="shared" si="31"/>
        <v>838343</v>
      </c>
      <c r="H251" s="240">
        <f t="shared" si="32"/>
        <v>141373</v>
      </c>
      <c r="I251" s="120">
        <f t="shared" si="39"/>
        <v>696970</v>
      </c>
      <c r="J251" s="120"/>
      <c r="K251" s="117"/>
      <c r="L251" s="243">
        <f t="shared" si="33"/>
        <v>141373</v>
      </c>
      <c r="M251" s="243">
        <f t="shared" si="34"/>
        <v>141373</v>
      </c>
      <c r="N251" s="243">
        <f t="shared" si="35"/>
        <v>141373</v>
      </c>
      <c r="O251" s="243">
        <f t="shared" si="36"/>
        <v>141373</v>
      </c>
      <c r="P251" s="244">
        <f t="shared" si="37"/>
        <v>131478</v>
      </c>
      <c r="Q251" s="141">
        <f t="shared" si="38"/>
        <v>0</v>
      </c>
    </row>
    <row r="252" spans="1:17">
      <c r="A252" s="193">
        <v>32098</v>
      </c>
      <c r="B252" s="194" t="s">
        <v>240</v>
      </c>
      <c r="C252" s="200">
        <f>VLOOKUP(A252,'Contribution Allocation_Report'!$A$9:$D$314,4,FALSE)</f>
        <v>1.7520315388289926E-4</v>
      </c>
      <c r="D252" s="11"/>
      <c r="E252" s="241">
        <f>VLOOKUP(A252,'Contribution Allocation_Rep 23'!$A$9:$D$312,4,FALSE)</f>
        <v>2.4737553415894687E-4</v>
      </c>
      <c r="F252" s="123"/>
      <c r="G252" s="134">
        <f t="shared" si="31"/>
        <v>-232739</v>
      </c>
      <c r="H252" s="240">
        <f t="shared" si="32"/>
        <v>-39248</v>
      </c>
      <c r="I252" s="120">
        <f t="shared" si="39"/>
        <v>-193491</v>
      </c>
      <c r="J252" s="120"/>
      <c r="K252" s="117"/>
      <c r="L252" s="243">
        <f t="shared" si="33"/>
        <v>-39248</v>
      </c>
      <c r="M252" s="243">
        <f t="shared" si="34"/>
        <v>-39248</v>
      </c>
      <c r="N252" s="243">
        <f t="shared" si="35"/>
        <v>-39248</v>
      </c>
      <c r="O252" s="243">
        <f t="shared" si="36"/>
        <v>-39248</v>
      </c>
      <c r="P252" s="244">
        <f t="shared" si="37"/>
        <v>-36499</v>
      </c>
      <c r="Q252" s="141">
        <f t="shared" si="38"/>
        <v>0</v>
      </c>
    </row>
    <row r="253" spans="1:17">
      <c r="A253" s="195">
        <v>4520</v>
      </c>
      <c r="B253" s="223" t="s">
        <v>241</v>
      </c>
      <c r="C253" s="224">
        <f>VLOOKUP(A253,'Contribution Allocation_Report'!$A$9:$D$314,4,FALSE)</f>
        <v>2.7433889919640139E-5</v>
      </c>
      <c r="D253" s="11"/>
      <c r="E253" s="241">
        <f>VLOOKUP(A253,'Contribution Allocation_Rep 23'!$A$9:$D$312,4,FALSE)</f>
        <v>2.7780093513102842E-5</v>
      </c>
      <c r="F253" s="123"/>
      <c r="G253" s="134">
        <f t="shared" si="31"/>
        <v>-1116</v>
      </c>
      <c r="H253" s="240">
        <f t="shared" si="32"/>
        <v>-188</v>
      </c>
      <c r="I253" s="120">
        <f t="shared" si="39"/>
        <v>-928</v>
      </c>
      <c r="J253" s="120"/>
      <c r="K253" s="117"/>
      <c r="L253" s="243">
        <f t="shared" si="33"/>
        <v>-188</v>
      </c>
      <c r="M253" s="243">
        <f t="shared" si="34"/>
        <v>-188</v>
      </c>
      <c r="N253" s="243">
        <f t="shared" si="35"/>
        <v>-188</v>
      </c>
      <c r="O253" s="243">
        <f t="shared" si="36"/>
        <v>-188</v>
      </c>
      <c r="P253" s="244">
        <f t="shared" si="37"/>
        <v>-176</v>
      </c>
      <c r="Q253" s="141">
        <f t="shared" si="38"/>
        <v>0</v>
      </c>
    </row>
    <row r="254" spans="1:17">
      <c r="A254" s="193">
        <v>9030</v>
      </c>
      <c r="B254" s="194" t="s">
        <v>242</v>
      </c>
      <c r="C254" s="200">
        <f>VLOOKUP(A254,'Contribution Allocation_Report'!$A$9:$D$314,4,FALSE)</f>
        <v>2.6501891426949442E-4</v>
      </c>
      <c r="D254" s="11"/>
      <c r="E254" s="241">
        <f>VLOOKUP(A254,'Contribution Allocation_Rep 23'!$A$9:$D$312,4,FALSE)</f>
        <v>2.633957955029267E-4</v>
      </c>
      <c r="F254" s="123"/>
      <c r="G254" s="134">
        <f t="shared" si="31"/>
        <v>5234</v>
      </c>
      <c r="H254" s="240">
        <f t="shared" si="32"/>
        <v>883</v>
      </c>
      <c r="I254" s="120">
        <f t="shared" si="39"/>
        <v>4351</v>
      </c>
      <c r="J254" s="120"/>
      <c r="K254" s="117"/>
      <c r="L254" s="243">
        <f t="shared" si="33"/>
        <v>883</v>
      </c>
      <c r="M254" s="243">
        <f t="shared" si="34"/>
        <v>883</v>
      </c>
      <c r="N254" s="243">
        <f t="shared" si="35"/>
        <v>883</v>
      </c>
      <c r="O254" s="243">
        <f t="shared" si="36"/>
        <v>883</v>
      </c>
      <c r="P254" s="244">
        <f t="shared" si="37"/>
        <v>819</v>
      </c>
      <c r="Q254" s="141">
        <f t="shared" si="38"/>
        <v>0</v>
      </c>
    </row>
    <row r="255" spans="1:17">
      <c r="A255" s="298">
        <v>20265</v>
      </c>
      <c r="B255" s="299" t="s">
        <v>243</v>
      </c>
      <c r="C255" s="224">
        <f>VLOOKUP(A255,'Contribution Allocation_Report'!$A$9:$D$314,4,FALSE)</f>
        <v>3.8168753771423763E-4</v>
      </c>
      <c r="D255" s="11"/>
      <c r="E255" s="241">
        <f>VLOOKUP(A255,'Contribution Allocation_Rep 23'!$A$9:$D$312,4,FALSE)</f>
        <v>3.8747206483297621E-4</v>
      </c>
      <c r="F255" s="123"/>
      <c r="G255" s="134">
        <f t="shared" si="31"/>
        <v>-18654</v>
      </c>
      <c r="H255" s="240">
        <f t="shared" si="32"/>
        <v>-3146</v>
      </c>
      <c r="I255" s="120">
        <f t="shared" si="39"/>
        <v>-15508</v>
      </c>
      <c r="J255" s="120"/>
      <c r="K255" s="117"/>
      <c r="L255" s="243">
        <f t="shared" si="33"/>
        <v>-3146</v>
      </c>
      <c r="M255" s="243">
        <f t="shared" si="34"/>
        <v>-3146</v>
      </c>
      <c r="N255" s="243">
        <f t="shared" si="35"/>
        <v>-3146</v>
      </c>
      <c r="O255" s="243">
        <f t="shared" si="36"/>
        <v>-3146</v>
      </c>
      <c r="P255" s="244">
        <f t="shared" si="37"/>
        <v>-2924</v>
      </c>
      <c r="Q255" s="141">
        <f t="shared" si="38"/>
        <v>0</v>
      </c>
    </row>
    <row r="256" spans="1:17">
      <c r="A256" s="193">
        <v>20307</v>
      </c>
      <c r="B256" s="194" t="s">
        <v>244</v>
      </c>
      <c r="C256" s="200">
        <f>VLOOKUP(A256,'Contribution Allocation_Report'!$A$9:$D$314,4,FALSE)</f>
        <v>3.2084460325880221E-4</v>
      </c>
      <c r="D256" s="11"/>
      <c r="E256" s="241">
        <f>VLOOKUP(A256,'Contribution Allocation_Rep 23'!$A$9:$D$312,4,FALSE)</f>
        <v>3.1630194468250031E-4</v>
      </c>
      <c r="F256" s="123"/>
      <c r="G256" s="134">
        <f t="shared" si="31"/>
        <v>14649</v>
      </c>
      <c r="H256" s="240">
        <f t="shared" si="32"/>
        <v>2470</v>
      </c>
      <c r="I256" s="120">
        <f t="shared" si="39"/>
        <v>12179</v>
      </c>
      <c r="J256" s="120"/>
      <c r="K256" s="117"/>
      <c r="L256" s="243">
        <f t="shared" si="33"/>
        <v>2470</v>
      </c>
      <c r="M256" s="243">
        <f t="shared" si="34"/>
        <v>2470</v>
      </c>
      <c r="N256" s="243">
        <f t="shared" si="35"/>
        <v>2470</v>
      </c>
      <c r="O256" s="243">
        <f t="shared" si="36"/>
        <v>2470</v>
      </c>
      <c r="P256" s="244">
        <f t="shared" si="37"/>
        <v>2299</v>
      </c>
      <c r="Q256" s="141">
        <f t="shared" si="38"/>
        <v>0</v>
      </c>
    </row>
    <row r="257" spans="1:17">
      <c r="A257" s="195">
        <v>3320</v>
      </c>
      <c r="B257" s="196" t="s">
        <v>245</v>
      </c>
      <c r="C257" s="201">
        <f>VLOOKUP(A257,'Contribution Allocation_Report'!$A$9:$D$314,4,FALSE)</f>
        <v>1.9874180831623905E-3</v>
      </c>
      <c r="D257" s="11"/>
      <c r="E257" s="241">
        <f>VLOOKUP(A257,'Contribution Allocation_Rep 23'!$A$9:$D$312,4,FALSE)</f>
        <v>1.7468283440171888E-3</v>
      </c>
      <c r="F257" s="123"/>
      <c r="G257" s="134">
        <f t="shared" si="31"/>
        <v>775846</v>
      </c>
      <c r="H257" s="240">
        <f t="shared" si="32"/>
        <v>130834</v>
      </c>
      <c r="I257" s="120">
        <f t="shared" si="39"/>
        <v>645012</v>
      </c>
      <c r="J257" s="120"/>
      <c r="K257" s="117"/>
      <c r="L257" s="243">
        <f t="shared" si="33"/>
        <v>130834</v>
      </c>
      <c r="M257" s="243">
        <f t="shared" si="34"/>
        <v>130834</v>
      </c>
      <c r="N257" s="243">
        <f t="shared" si="35"/>
        <v>130834</v>
      </c>
      <c r="O257" s="243">
        <f t="shared" si="36"/>
        <v>130834</v>
      </c>
      <c r="P257" s="244">
        <f t="shared" si="37"/>
        <v>121676</v>
      </c>
      <c r="Q257" s="141">
        <f t="shared" si="38"/>
        <v>0</v>
      </c>
    </row>
    <row r="258" spans="1:17">
      <c r="A258" s="193">
        <v>20415</v>
      </c>
      <c r="B258" s="194" t="s">
        <v>246</v>
      </c>
      <c r="C258" s="200">
        <f>VLOOKUP(A258,'Contribution Allocation_Report'!$A$9:$D$314,4,FALSE)</f>
        <v>2.357320197645552E-4</v>
      </c>
      <c r="D258" s="11"/>
      <c r="E258" s="241">
        <f>VLOOKUP(A258,'Contribution Allocation_Rep 23'!$A$9:$D$312,4,FALSE)</f>
        <v>2.4742791648486726E-4</v>
      </c>
      <c r="F258" s="123"/>
      <c r="G258" s="134">
        <f t="shared" si="31"/>
        <v>-37717</v>
      </c>
      <c r="H258" s="240">
        <f t="shared" si="32"/>
        <v>-6360</v>
      </c>
      <c r="I258" s="120">
        <f t="shared" si="39"/>
        <v>-31357</v>
      </c>
      <c r="J258" s="120"/>
      <c r="K258" s="117"/>
      <c r="L258" s="243">
        <f t="shared" si="33"/>
        <v>-6360</v>
      </c>
      <c r="M258" s="243">
        <f t="shared" si="34"/>
        <v>-6360</v>
      </c>
      <c r="N258" s="243">
        <f t="shared" si="35"/>
        <v>-6360</v>
      </c>
      <c r="O258" s="243">
        <f t="shared" si="36"/>
        <v>-6360</v>
      </c>
      <c r="P258" s="244">
        <f t="shared" si="37"/>
        <v>-5917</v>
      </c>
      <c r="Q258" s="141">
        <f t="shared" si="38"/>
        <v>0</v>
      </c>
    </row>
    <row r="259" spans="1:17">
      <c r="A259" s="195">
        <v>20435</v>
      </c>
      <c r="B259" s="196" t="s">
        <v>418</v>
      </c>
      <c r="C259" s="201">
        <f>VLOOKUP(A259,'Contribution Allocation_Report'!$A$9:$D$314,4,FALSE)</f>
        <v>2.6480691798219327E-4</v>
      </c>
      <c r="D259" s="11"/>
      <c r="E259" s="241">
        <f>VLOOKUP(A259,'Contribution Allocation_Rep 23'!$A$9:$D$312,4,FALSE)</f>
        <v>3.2233464255099621E-4</v>
      </c>
      <c r="F259" s="123"/>
      <c r="G259" s="134">
        <f t="shared" si="31"/>
        <v>-185514</v>
      </c>
      <c r="H259" s="240">
        <f t="shared" si="32"/>
        <v>-31284</v>
      </c>
      <c r="I259" s="120">
        <f t="shared" si="39"/>
        <v>-154230</v>
      </c>
      <c r="J259" s="120"/>
      <c r="K259" s="117"/>
      <c r="L259" s="243">
        <f t="shared" si="33"/>
        <v>-31284</v>
      </c>
      <c r="M259" s="243">
        <f t="shared" si="34"/>
        <v>-31284</v>
      </c>
      <c r="N259" s="243">
        <f t="shared" si="35"/>
        <v>-31284</v>
      </c>
      <c r="O259" s="243">
        <f t="shared" si="36"/>
        <v>-31284</v>
      </c>
      <c r="P259" s="244">
        <f t="shared" si="37"/>
        <v>-29094</v>
      </c>
      <c r="Q259" s="141">
        <f t="shared" si="38"/>
        <v>0</v>
      </c>
    </row>
    <row r="260" spans="1:17">
      <c r="A260" s="193">
        <v>20062</v>
      </c>
      <c r="B260" s="194" t="s">
        <v>247</v>
      </c>
      <c r="C260" s="200">
        <f>VLOOKUP(A260,'Contribution Allocation_Report'!$A$9:$D$314,4,FALSE)</f>
        <v>2.6255269079389085E-3</v>
      </c>
      <c r="D260" s="11"/>
      <c r="E260" s="241">
        <f>VLOOKUP(A260,'Contribution Allocation_Rep 23'!$A$9:$D$312,4,FALSE)</f>
        <v>2.922959977519601E-3</v>
      </c>
      <c r="F260" s="123"/>
      <c r="G260" s="134">
        <f t="shared" si="31"/>
        <v>-959153</v>
      </c>
      <c r="H260" s="240">
        <f t="shared" si="32"/>
        <v>-161746</v>
      </c>
      <c r="I260" s="120">
        <f t="shared" si="39"/>
        <v>-797407</v>
      </c>
      <c r="J260" s="120"/>
      <c r="K260" s="117"/>
      <c r="L260" s="243">
        <f t="shared" si="33"/>
        <v>-161746</v>
      </c>
      <c r="M260" s="243">
        <f t="shared" si="34"/>
        <v>-161746</v>
      </c>
      <c r="N260" s="243">
        <f t="shared" si="35"/>
        <v>-161746</v>
      </c>
      <c r="O260" s="243">
        <f t="shared" si="36"/>
        <v>-161746</v>
      </c>
      <c r="P260" s="244">
        <f t="shared" si="37"/>
        <v>-150423</v>
      </c>
      <c r="Q260" s="141">
        <f t="shared" si="38"/>
        <v>0</v>
      </c>
    </row>
    <row r="261" spans="1:17">
      <c r="A261" s="195">
        <v>3410</v>
      </c>
      <c r="B261" s="196" t="s">
        <v>486</v>
      </c>
      <c r="C261" s="201">
        <f>VLOOKUP(A261,'Contribution Allocation_Report'!$A$9:$D$314,4,FALSE)</f>
        <v>3.470457740263578E-5</v>
      </c>
      <c r="D261" s="11"/>
      <c r="E261" s="241">
        <v>0</v>
      </c>
      <c r="F261" s="123"/>
      <c r="G261" s="134">
        <f t="shared" ref="G261:G310" si="42">ROUND((E261-C261)*$G$318,0)</f>
        <v>111914</v>
      </c>
      <c r="H261" s="240">
        <f t="shared" si="32"/>
        <v>18873</v>
      </c>
      <c r="I261" s="120">
        <f t="shared" si="39"/>
        <v>93041</v>
      </c>
      <c r="J261" s="120"/>
      <c r="K261" s="117"/>
      <c r="L261" s="243">
        <f t="shared" si="33"/>
        <v>18873</v>
      </c>
      <c r="M261" s="243">
        <f t="shared" si="34"/>
        <v>18873</v>
      </c>
      <c r="N261" s="243">
        <f t="shared" si="35"/>
        <v>18873</v>
      </c>
      <c r="O261" s="243">
        <f t="shared" si="36"/>
        <v>18873</v>
      </c>
      <c r="P261" s="244">
        <f t="shared" si="37"/>
        <v>17549</v>
      </c>
      <c r="Q261" s="141">
        <f t="shared" si="38"/>
        <v>0</v>
      </c>
    </row>
    <row r="262" spans="1:17">
      <c r="A262" s="193">
        <v>6020</v>
      </c>
      <c r="B262" s="194" t="s">
        <v>248</v>
      </c>
      <c r="C262" s="200">
        <f>VLOOKUP(A262,'Contribution Allocation_Report'!$A$9:$D$314,4,FALSE)</f>
        <v>5.5583071016063103E-4</v>
      </c>
      <c r="D262" s="11"/>
      <c r="E262" s="241">
        <f>VLOOKUP(A262,'Contribution Allocation_Rep 23'!$A$9:$D$312,4,FALSE)</f>
        <v>5.861756878242461E-4</v>
      </c>
      <c r="F262" s="123"/>
      <c r="G262" s="134">
        <f t="shared" si="42"/>
        <v>-97856</v>
      </c>
      <c r="H262" s="240">
        <f t="shared" ref="H262:H310" si="43">ROUND(G262/5.93,0)</f>
        <v>-16502</v>
      </c>
      <c r="I262" s="120">
        <f t="shared" si="39"/>
        <v>-81354</v>
      </c>
      <c r="J262" s="120"/>
      <c r="K262" s="117"/>
      <c r="L262" s="243">
        <f t="shared" ref="L262:L311" si="44">+H262</f>
        <v>-16502</v>
      </c>
      <c r="M262" s="243">
        <f t="shared" ref="M262:M311" si="45">+L262</f>
        <v>-16502</v>
      </c>
      <c r="N262" s="243">
        <f t="shared" ref="N262:N311" si="46">+M262</f>
        <v>-16502</v>
      </c>
      <c r="O262" s="243">
        <f t="shared" ref="O262:O311" si="47">+N262</f>
        <v>-16502</v>
      </c>
      <c r="P262" s="244">
        <f t="shared" ref="P262:P311" si="48">I262-SUM(L262:O262)</f>
        <v>-15346</v>
      </c>
      <c r="Q262" s="141">
        <f t="shared" si="38"/>
        <v>0</v>
      </c>
    </row>
    <row r="263" spans="1:17">
      <c r="A263" s="195">
        <v>2394</v>
      </c>
      <c r="B263" s="196" t="s">
        <v>249</v>
      </c>
      <c r="C263" s="201">
        <f>VLOOKUP(A263,'Contribution Allocation_Report'!$A$9:$D$314,4,FALSE)</f>
        <v>3.4688088802512353E-4</v>
      </c>
      <c r="D263" s="11"/>
      <c r="E263" s="241">
        <f>VLOOKUP(A263,'Contribution Allocation_Rep 23'!$A$9:$D$312,4,FALSE)</f>
        <v>3.3175473082900942E-4</v>
      </c>
      <c r="F263" s="123"/>
      <c r="G263" s="134">
        <f t="shared" si="42"/>
        <v>48778</v>
      </c>
      <c r="H263" s="240">
        <f t="shared" si="43"/>
        <v>8226</v>
      </c>
      <c r="I263" s="120">
        <f t="shared" si="39"/>
        <v>40552</v>
      </c>
      <c r="J263" s="120"/>
      <c r="K263" s="117"/>
      <c r="L263" s="243">
        <f t="shared" si="44"/>
        <v>8226</v>
      </c>
      <c r="M263" s="243">
        <f t="shared" si="45"/>
        <v>8226</v>
      </c>
      <c r="N263" s="243">
        <f t="shared" si="46"/>
        <v>8226</v>
      </c>
      <c r="O263" s="243">
        <f t="shared" si="47"/>
        <v>8226</v>
      </c>
      <c r="P263" s="244">
        <f t="shared" si="48"/>
        <v>7648</v>
      </c>
      <c r="Q263" s="141">
        <f t="shared" si="38"/>
        <v>0</v>
      </c>
    </row>
    <row r="264" spans="1:17">
      <c r="A264" s="193">
        <v>5015</v>
      </c>
      <c r="B264" s="194" t="s">
        <v>250</v>
      </c>
      <c r="C264" s="200">
        <f>VLOOKUP(A264,'Contribution Allocation_Report'!$A$9:$D$314,4,FALSE)</f>
        <v>7.6520452487074096E-4</v>
      </c>
      <c r="D264" s="11"/>
      <c r="E264" s="241">
        <f>VLOOKUP(A264,'Contribution Allocation_Rep 23'!$A$9:$D$312,4,FALSE)</f>
        <v>7.870793685041714E-4</v>
      </c>
      <c r="F264" s="123"/>
      <c r="G264" s="134">
        <f t="shared" si="42"/>
        <v>-70541</v>
      </c>
      <c r="H264" s="240">
        <f t="shared" si="43"/>
        <v>-11896</v>
      </c>
      <c r="I264" s="120">
        <f t="shared" si="39"/>
        <v>-58645</v>
      </c>
      <c r="J264" s="120"/>
      <c r="K264" s="117"/>
      <c r="L264" s="243">
        <f t="shared" si="44"/>
        <v>-11896</v>
      </c>
      <c r="M264" s="243">
        <f t="shared" si="45"/>
        <v>-11896</v>
      </c>
      <c r="N264" s="243">
        <f t="shared" si="46"/>
        <v>-11896</v>
      </c>
      <c r="O264" s="243">
        <f t="shared" si="47"/>
        <v>-11896</v>
      </c>
      <c r="P264" s="244">
        <f t="shared" si="48"/>
        <v>-11061</v>
      </c>
      <c r="Q264" s="141">
        <f t="shared" ref="Q264:Q308" si="49">+I264-SUM(L264:P264)</f>
        <v>0</v>
      </c>
    </row>
    <row r="265" spans="1:17">
      <c r="A265" s="195">
        <v>29408</v>
      </c>
      <c r="B265" s="196" t="s">
        <v>251</v>
      </c>
      <c r="C265" s="201">
        <f>VLOOKUP(A265,'Contribution Allocation_Report'!$A$9:$D$314,4,FALSE)</f>
        <v>5.6971254112168543E-4</v>
      </c>
      <c r="D265" s="11"/>
      <c r="E265" s="241">
        <f>VLOOKUP(A265,'Contribution Allocation_Rep 23'!$A$9:$D$312,4,FALSE)</f>
        <v>5.5726937430385527E-4</v>
      </c>
      <c r="F265" s="123"/>
      <c r="G265" s="134">
        <f t="shared" si="42"/>
        <v>40126</v>
      </c>
      <c r="H265" s="240">
        <f t="shared" si="43"/>
        <v>6767</v>
      </c>
      <c r="I265" s="120">
        <f t="shared" ref="I265:I310" si="50">G265-H265</f>
        <v>33359</v>
      </c>
      <c r="J265" s="120"/>
      <c r="K265" s="117"/>
      <c r="L265" s="243">
        <f t="shared" si="44"/>
        <v>6767</v>
      </c>
      <c r="M265" s="243">
        <f t="shared" si="45"/>
        <v>6767</v>
      </c>
      <c r="N265" s="243">
        <f t="shared" si="46"/>
        <v>6767</v>
      </c>
      <c r="O265" s="243">
        <f t="shared" si="47"/>
        <v>6767</v>
      </c>
      <c r="P265" s="244">
        <f t="shared" si="48"/>
        <v>6291</v>
      </c>
      <c r="Q265" s="141">
        <f t="shared" si="49"/>
        <v>0</v>
      </c>
    </row>
    <row r="266" spans="1:17">
      <c r="A266" s="193">
        <v>2413</v>
      </c>
      <c r="B266" s="194" t="s">
        <v>252</v>
      </c>
      <c r="C266" s="200">
        <f>VLOOKUP(A266,'Contribution Allocation_Report'!$A$9:$D$314,4,FALSE)</f>
        <v>1.0108297047093506E-4</v>
      </c>
      <c r="D266" s="11"/>
      <c r="E266" s="241">
        <f>VLOOKUP(A266,'Contribution Allocation_Rep 23'!$A$9:$D$312,4,FALSE)</f>
        <v>1.4508158202411784E-4</v>
      </c>
      <c r="F266" s="123"/>
      <c r="G266" s="134">
        <f t="shared" si="42"/>
        <v>-141885</v>
      </c>
      <c r="H266" s="240">
        <f t="shared" si="43"/>
        <v>-23927</v>
      </c>
      <c r="I266" s="120">
        <f t="shared" si="50"/>
        <v>-117958</v>
      </c>
      <c r="J266" s="120"/>
      <c r="K266" s="117"/>
      <c r="L266" s="243">
        <f t="shared" si="44"/>
        <v>-23927</v>
      </c>
      <c r="M266" s="243">
        <f t="shared" si="45"/>
        <v>-23927</v>
      </c>
      <c r="N266" s="243">
        <f t="shared" si="46"/>
        <v>-23927</v>
      </c>
      <c r="O266" s="243">
        <f t="shared" si="47"/>
        <v>-23927</v>
      </c>
      <c r="P266" s="244">
        <f t="shared" si="48"/>
        <v>-22250</v>
      </c>
      <c r="Q266" s="141">
        <f t="shared" si="49"/>
        <v>0</v>
      </c>
    </row>
    <row r="267" spans="1:17">
      <c r="A267" s="195">
        <v>1398</v>
      </c>
      <c r="B267" s="196" t="s">
        <v>253</v>
      </c>
      <c r="C267" s="201">
        <f>VLOOKUP(A267,'Contribution Allocation_Report'!$A$9:$D$314,4,FALSE)</f>
        <v>3.4406212257545246E-4</v>
      </c>
      <c r="D267" s="11"/>
      <c r="E267" s="241">
        <f>VLOOKUP(A267,'Contribution Allocation_Rep 23'!$A$9:$D$312,4,FALSE)</f>
        <v>2.7942478723455989E-4</v>
      </c>
      <c r="F267" s="123"/>
      <c r="G267" s="134">
        <f t="shared" si="42"/>
        <v>208440</v>
      </c>
      <c r="H267" s="240">
        <f t="shared" si="43"/>
        <v>35150</v>
      </c>
      <c r="I267" s="120">
        <f t="shared" si="50"/>
        <v>173290</v>
      </c>
      <c r="J267" s="120"/>
      <c r="K267" s="117"/>
      <c r="L267" s="243">
        <f t="shared" si="44"/>
        <v>35150</v>
      </c>
      <c r="M267" s="243">
        <f t="shared" si="45"/>
        <v>35150</v>
      </c>
      <c r="N267" s="243">
        <f t="shared" si="46"/>
        <v>35150</v>
      </c>
      <c r="O267" s="243">
        <f t="shared" si="47"/>
        <v>35150</v>
      </c>
      <c r="P267" s="244">
        <f t="shared" si="48"/>
        <v>32690</v>
      </c>
      <c r="Q267" s="141">
        <f t="shared" si="49"/>
        <v>0</v>
      </c>
    </row>
    <row r="268" spans="1:17">
      <c r="A268" s="193">
        <v>2366</v>
      </c>
      <c r="B268" s="194" t="s">
        <v>254</v>
      </c>
      <c r="C268" s="200">
        <f>VLOOKUP(A268,'Contribution Allocation_Report'!$A$9:$D$314,4,FALSE)</f>
        <v>2.127500518782396E-4</v>
      </c>
      <c r="D268" s="11"/>
      <c r="E268" s="241">
        <f>VLOOKUP(A268,'Contribution Allocation_Rep 23'!$A$9:$D$312,4,FALSE)</f>
        <v>2.3128542971373993E-4</v>
      </c>
      <c r="F268" s="123"/>
      <c r="G268" s="134">
        <f t="shared" si="42"/>
        <v>-59772</v>
      </c>
      <c r="H268" s="240">
        <f t="shared" si="43"/>
        <v>-10080</v>
      </c>
      <c r="I268" s="120">
        <f t="shared" si="50"/>
        <v>-49692</v>
      </c>
      <c r="J268" s="120"/>
      <c r="K268" s="117"/>
      <c r="L268" s="243">
        <f t="shared" si="44"/>
        <v>-10080</v>
      </c>
      <c r="M268" s="243">
        <f t="shared" si="45"/>
        <v>-10080</v>
      </c>
      <c r="N268" s="243">
        <f t="shared" si="46"/>
        <v>-10080</v>
      </c>
      <c r="O268" s="243">
        <f t="shared" si="47"/>
        <v>-10080</v>
      </c>
      <c r="P268" s="244">
        <f t="shared" si="48"/>
        <v>-9372</v>
      </c>
      <c r="Q268" s="141">
        <f t="shared" si="49"/>
        <v>0</v>
      </c>
    </row>
    <row r="269" spans="1:17">
      <c r="A269" s="195">
        <v>7421</v>
      </c>
      <c r="B269" s="196" t="s">
        <v>255</v>
      </c>
      <c r="C269" s="201">
        <f>VLOOKUP(A269,'Contribution Allocation_Report'!$A$9:$D$314,4,FALSE)</f>
        <v>1.9256329429856166E-4</v>
      </c>
      <c r="D269" s="11"/>
      <c r="E269" s="241">
        <f>VLOOKUP(A269,'Contribution Allocation_Rep 23'!$A$9:$D$312,4,FALSE)</f>
        <v>1.9044467627115819E-4</v>
      </c>
      <c r="F269" s="123"/>
      <c r="G269" s="134">
        <f t="shared" si="42"/>
        <v>6832</v>
      </c>
      <c r="H269" s="240">
        <f t="shared" si="43"/>
        <v>1152</v>
      </c>
      <c r="I269" s="120">
        <f t="shared" si="50"/>
        <v>5680</v>
      </c>
      <c r="J269" s="120"/>
      <c r="K269" s="117"/>
      <c r="L269" s="243">
        <f t="shared" si="44"/>
        <v>1152</v>
      </c>
      <c r="M269" s="243">
        <f t="shared" si="45"/>
        <v>1152</v>
      </c>
      <c r="N269" s="243">
        <f t="shared" si="46"/>
        <v>1152</v>
      </c>
      <c r="O269" s="243">
        <f t="shared" si="47"/>
        <v>1152</v>
      </c>
      <c r="P269" s="244">
        <f t="shared" si="48"/>
        <v>1072</v>
      </c>
      <c r="Q269" s="141">
        <f t="shared" si="49"/>
        <v>0</v>
      </c>
    </row>
    <row r="270" spans="1:17">
      <c r="A270" s="193">
        <v>1425</v>
      </c>
      <c r="B270" s="194" t="s">
        <v>445</v>
      </c>
      <c r="C270" s="200">
        <f>VLOOKUP(A270,'Contribution Allocation_Report'!$A$9:$D$314,4,FALSE)</f>
        <v>3.2136281640553839E-4</v>
      </c>
      <c r="D270" s="11"/>
      <c r="E270" s="241">
        <f>VLOOKUP(A270,'Contribution Allocation_Rep 23'!$A$9:$D$312,4,FALSE)</f>
        <v>1.6790281535009234E-4</v>
      </c>
      <c r="F270" s="123"/>
      <c r="G270" s="134">
        <f t="shared" si="42"/>
        <v>494873</v>
      </c>
      <c r="H270" s="240">
        <f t="shared" si="43"/>
        <v>83452</v>
      </c>
      <c r="I270" s="120">
        <f t="shared" si="50"/>
        <v>411421</v>
      </c>
      <c r="J270" s="120"/>
      <c r="K270" s="117"/>
      <c r="L270" s="243">
        <f t="shared" si="44"/>
        <v>83452</v>
      </c>
      <c r="M270" s="243">
        <f t="shared" si="45"/>
        <v>83452</v>
      </c>
      <c r="N270" s="243">
        <f t="shared" si="46"/>
        <v>83452</v>
      </c>
      <c r="O270" s="243">
        <f t="shared" si="47"/>
        <v>83452</v>
      </c>
      <c r="P270" s="244">
        <f t="shared" si="48"/>
        <v>77613</v>
      </c>
      <c r="Q270" s="141">
        <f t="shared" si="49"/>
        <v>0</v>
      </c>
    </row>
    <row r="271" spans="1:17">
      <c r="A271" s="195">
        <v>2370</v>
      </c>
      <c r="B271" s="196" t="s">
        <v>256</v>
      </c>
      <c r="C271" s="201">
        <f>VLOOKUP(A271,'Contribution Allocation_Report'!$A$9:$D$314,4,FALSE)</f>
        <v>2.9944082995572865E-4</v>
      </c>
      <c r="D271" s="11"/>
      <c r="E271" s="241">
        <f>VLOOKUP(A271,'Contribution Allocation_Rep 23'!$A$9:$D$312,4,FALSE)</f>
        <v>3.2491883729640115E-4</v>
      </c>
      <c r="F271" s="123"/>
      <c r="G271" s="134">
        <f t="shared" si="42"/>
        <v>-82161</v>
      </c>
      <c r="H271" s="240">
        <f t="shared" si="43"/>
        <v>-13855</v>
      </c>
      <c r="I271" s="120">
        <f t="shared" si="50"/>
        <v>-68306</v>
      </c>
      <c r="J271" s="120"/>
      <c r="K271" s="117"/>
      <c r="L271" s="243">
        <f t="shared" si="44"/>
        <v>-13855</v>
      </c>
      <c r="M271" s="243">
        <f t="shared" si="45"/>
        <v>-13855</v>
      </c>
      <c r="N271" s="243">
        <f t="shared" si="46"/>
        <v>-13855</v>
      </c>
      <c r="O271" s="243">
        <f t="shared" si="47"/>
        <v>-13855</v>
      </c>
      <c r="P271" s="244">
        <f t="shared" si="48"/>
        <v>-12886</v>
      </c>
      <c r="Q271" s="141">
        <f t="shared" si="49"/>
        <v>0</v>
      </c>
    </row>
    <row r="272" spans="1:17">
      <c r="A272" s="193">
        <v>32094</v>
      </c>
      <c r="B272" s="194" t="s">
        <v>257</v>
      </c>
      <c r="C272" s="200">
        <f>VLOOKUP(A272,'Contribution Allocation_Report'!$A$9:$D$314,4,FALSE)</f>
        <v>3.9564003410439238E-4</v>
      </c>
      <c r="D272" s="11"/>
      <c r="E272" s="241">
        <f>VLOOKUP(A272,'Contribution Allocation_Rep 23'!$A$9:$D$312,4,FALSE)</f>
        <v>4.3582968204513103E-4</v>
      </c>
      <c r="F272" s="123"/>
      <c r="G272" s="134">
        <f t="shared" si="42"/>
        <v>-129602</v>
      </c>
      <c r="H272" s="240">
        <f t="shared" si="43"/>
        <v>-21855</v>
      </c>
      <c r="I272" s="120">
        <f t="shared" si="50"/>
        <v>-107747</v>
      </c>
      <c r="J272" s="120"/>
      <c r="K272" s="117"/>
      <c r="L272" s="243">
        <f t="shared" si="44"/>
        <v>-21855</v>
      </c>
      <c r="M272" s="243">
        <f t="shared" si="45"/>
        <v>-21855</v>
      </c>
      <c r="N272" s="243">
        <f t="shared" si="46"/>
        <v>-21855</v>
      </c>
      <c r="O272" s="243">
        <f t="shared" si="47"/>
        <v>-21855</v>
      </c>
      <c r="P272" s="244">
        <f t="shared" si="48"/>
        <v>-20327</v>
      </c>
      <c r="Q272" s="141">
        <f t="shared" si="49"/>
        <v>0</v>
      </c>
    </row>
    <row r="273" spans="1:17">
      <c r="A273" s="195">
        <v>2790</v>
      </c>
      <c r="B273" s="196" t="s">
        <v>258</v>
      </c>
      <c r="C273" s="201">
        <f>VLOOKUP(A273,'Contribution Allocation_Report'!$A$9:$D$314,4,FALSE)</f>
        <v>3.8143628285521405E-5</v>
      </c>
      <c r="D273" s="11"/>
      <c r="E273" s="241">
        <f>VLOOKUP(A273,'Contribution Allocation_Rep 23'!$A$9:$D$312,4,FALSE)</f>
        <v>4.0875674993195321E-5</v>
      </c>
      <c r="F273" s="123"/>
      <c r="G273" s="134">
        <f t="shared" si="42"/>
        <v>-8810</v>
      </c>
      <c r="H273" s="240">
        <f t="shared" si="43"/>
        <v>-1486</v>
      </c>
      <c r="I273" s="120">
        <f t="shared" si="50"/>
        <v>-7324</v>
      </c>
      <c r="J273" s="120"/>
      <c r="K273" s="117"/>
      <c r="L273" s="243">
        <f t="shared" si="44"/>
        <v>-1486</v>
      </c>
      <c r="M273" s="243">
        <f t="shared" si="45"/>
        <v>-1486</v>
      </c>
      <c r="N273" s="243">
        <f t="shared" si="46"/>
        <v>-1486</v>
      </c>
      <c r="O273" s="243">
        <f t="shared" si="47"/>
        <v>-1486</v>
      </c>
      <c r="P273" s="244">
        <f t="shared" si="48"/>
        <v>-1380</v>
      </c>
      <c r="Q273" s="141">
        <f t="shared" si="49"/>
        <v>0</v>
      </c>
    </row>
    <row r="274" spans="1:17">
      <c r="A274" s="193">
        <v>3330</v>
      </c>
      <c r="B274" s="194" t="s">
        <v>259</v>
      </c>
      <c r="C274" s="200">
        <f>VLOOKUP(A274,'Contribution Allocation_Report'!$A$9:$D$314,4,FALSE)</f>
        <v>8.5385037982000744E-4</v>
      </c>
      <c r="D274" s="11"/>
      <c r="E274" s="241">
        <f>VLOOKUP(A274,'Contribution Allocation_Rep 23'!$A$9:$D$312,4,FALSE)</f>
        <v>8.5332555001813254E-4</v>
      </c>
      <c r="F274" s="123"/>
      <c r="G274" s="134">
        <f t="shared" si="42"/>
        <v>1692</v>
      </c>
      <c r="H274" s="240">
        <f t="shared" si="43"/>
        <v>285</v>
      </c>
      <c r="I274" s="120">
        <f t="shared" si="50"/>
        <v>1407</v>
      </c>
      <c r="J274" s="120"/>
      <c r="K274" s="117"/>
      <c r="L274" s="243">
        <f t="shared" si="44"/>
        <v>285</v>
      </c>
      <c r="M274" s="243">
        <f t="shared" si="45"/>
        <v>285</v>
      </c>
      <c r="N274" s="243">
        <f t="shared" si="46"/>
        <v>285</v>
      </c>
      <c r="O274" s="243">
        <f t="shared" si="47"/>
        <v>285</v>
      </c>
      <c r="P274" s="244">
        <f t="shared" si="48"/>
        <v>267</v>
      </c>
      <c r="Q274" s="141">
        <f t="shared" si="49"/>
        <v>0</v>
      </c>
    </row>
    <row r="275" spans="1:17">
      <c r="A275" s="195">
        <v>2080</v>
      </c>
      <c r="B275" s="196" t="s">
        <v>260</v>
      </c>
      <c r="C275" s="201">
        <f>VLOOKUP(A275,'Contribution Allocation_Report'!$A$9:$D$314,4,FALSE)</f>
        <v>1.0332384974485187E-3</v>
      </c>
      <c r="D275" s="11"/>
      <c r="E275" s="241">
        <f>VLOOKUP(A275,'Contribution Allocation_Rep 23'!$A$9:$D$312,4,FALSE)</f>
        <v>9.3246651409615807E-4</v>
      </c>
      <c r="F275" s="123"/>
      <c r="G275" s="134">
        <f t="shared" si="42"/>
        <v>324966</v>
      </c>
      <c r="H275" s="240">
        <f t="shared" si="43"/>
        <v>54800</v>
      </c>
      <c r="I275" s="120">
        <f t="shared" si="50"/>
        <v>270166</v>
      </c>
      <c r="J275" s="120"/>
      <c r="K275" s="117"/>
      <c r="L275" s="243">
        <f t="shared" si="44"/>
        <v>54800</v>
      </c>
      <c r="M275" s="243">
        <f t="shared" si="45"/>
        <v>54800</v>
      </c>
      <c r="N275" s="243">
        <f t="shared" si="46"/>
        <v>54800</v>
      </c>
      <c r="O275" s="243">
        <f t="shared" si="47"/>
        <v>54800</v>
      </c>
      <c r="P275" s="244">
        <f t="shared" si="48"/>
        <v>50966</v>
      </c>
      <c r="Q275" s="141">
        <f t="shared" si="49"/>
        <v>0</v>
      </c>
    </row>
    <row r="276" spans="1:17">
      <c r="A276" s="193">
        <v>4290</v>
      </c>
      <c r="B276" s="194" t="s">
        <v>261</v>
      </c>
      <c r="C276" s="200">
        <f>VLOOKUP(A276,'Contribution Allocation_Report'!$A$9:$D$314,4,FALSE)</f>
        <v>4.242124226039832E-4</v>
      </c>
      <c r="D276" s="11"/>
      <c r="E276" s="241">
        <f>VLOOKUP(A276,'Contribution Allocation_Rep 23'!$A$9:$D$312,4,FALSE)</f>
        <v>4.1622996176325926E-4</v>
      </c>
      <c r="F276" s="123"/>
      <c r="G276" s="134">
        <f t="shared" si="42"/>
        <v>25742</v>
      </c>
      <c r="H276" s="240">
        <f t="shared" si="43"/>
        <v>4341</v>
      </c>
      <c r="I276" s="120">
        <f t="shared" si="50"/>
        <v>21401</v>
      </c>
      <c r="J276" s="120"/>
      <c r="K276" s="117"/>
      <c r="L276" s="243">
        <f t="shared" si="44"/>
        <v>4341</v>
      </c>
      <c r="M276" s="243">
        <f t="shared" si="45"/>
        <v>4341</v>
      </c>
      <c r="N276" s="243">
        <f t="shared" si="46"/>
        <v>4341</v>
      </c>
      <c r="O276" s="243">
        <f t="shared" si="47"/>
        <v>4341</v>
      </c>
      <c r="P276" s="244">
        <f t="shared" si="48"/>
        <v>4037</v>
      </c>
      <c r="Q276" s="141">
        <f t="shared" si="49"/>
        <v>0</v>
      </c>
    </row>
    <row r="277" spans="1:17">
      <c r="A277" s="195">
        <v>2270</v>
      </c>
      <c r="B277" s="196" t="s">
        <v>262</v>
      </c>
      <c r="C277" s="201">
        <f>VLOOKUP(A277,'Contribution Allocation_Report'!$A$9:$D$314,4,FALSE)</f>
        <v>1.4588485252058208E-5</v>
      </c>
      <c r="D277" s="11"/>
      <c r="E277" s="241">
        <f>VLOOKUP(A277,'Contribution Allocation_Rep 23'!$A$9:$D$312,4,FALSE)</f>
        <v>1.681472662043874E-5</v>
      </c>
      <c r="F277" s="123"/>
      <c r="G277" s="134">
        <f t="shared" si="42"/>
        <v>-7179</v>
      </c>
      <c r="H277" s="240">
        <f t="shared" si="43"/>
        <v>-1211</v>
      </c>
      <c r="I277" s="120">
        <f t="shared" si="50"/>
        <v>-5968</v>
      </c>
      <c r="J277" s="120"/>
      <c r="K277" s="117"/>
      <c r="L277" s="243">
        <f t="shared" si="44"/>
        <v>-1211</v>
      </c>
      <c r="M277" s="243">
        <f t="shared" si="45"/>
        <v>-1211</v>
      </c>
      <c r="N277" s="243">
        <f t="shared" si="46"/>
        <v>-1211</v>
      </c>
      <c r="O277" s="243">
        <f t="shared" si="47"/>
        <v>-1211</v>
      </c>
      <c r="P277" s="244">
        <f t="shared" si="48"/>
        <v>-1124</v>
      </c>
      <c r="Q277" s="141">
        <f t="shared" si="49"/>
        <v>0</v>
      </c>
    </row>
    <row r="278" spans="1:17">
      <c r="A278" s="193">
        <v>2300</v>
      </c>
      <c r="B278" s="194" t="s">
        <v>263</v>
      </c>
      <c r="C278" s="200">
        <f>VLOOKUP(A278,'Contribution Allocation_Report'!$A$9:$D$314,4,FALSE)</f>
        <v>1.6300158979156532E-4</v>
      </c>
      <c r="D278" s="11"/>
      <c r="E278" s="241">
        <f>VLOOKUP(A278,'Contribution Allocation_Rep 23'!$A$9:$D$312,4,FALSE)</f>
        <v>1.1712688075794711E-4</v>
      </c>
      <c r="F278" s="123"/>
      <c r="G278" s="134">
        <f t="shared" si="42"/>
        <v>147935</v>
      </c>
      <c r="H278" s="240">
        <f t="shared" si="43"/>
        <v>24947</v>
      </c>
      <c r="I278" s="120">
        <f t="shared" si="50"/>
        <v>122988</v>
      </c>
      <c r="J278" s="120"/>
      <c r="K278" s="117"/>
      <c r="L278" s="243">
        <f t="shared" si="44"/>
        <v>24947</v>
      </c>
      <c r="M278" s="243">
        <f t="shared" si="45"/>
        <v>24947</v>
      </c>
      <c r="N278" s="243">
        <f t="shared" si="46"/>
        <v>24947</v>
      </c>
      <c r="O278" s="243">
        <f t="shared" si="47"/>
        <v>24947</v>
      </c>
      <c r="P278" s="244">
        <f t="shared" si="48"/>
        <v>23200</v>
      </c>
      <c r="Q278" s="141">
        <f t="shared" si="49"/>
        <v>0</v>
      </c>
    </row>
    <row r="279" spans="1:17">
      <c r="A279" s="195">
        <v>2720</v>
      </c>
      <c r="B279" s="196" t="s">
        <v>264</v>
      </c>
      <c r="C279" s="201">
        <f>VLOOKUP(A279,'Contribution Allocation_Report'!$A$9:$D$314,4,FALSE)</f>
        <v>1.2880030727841121E-3</v>
      </c>
      <c r="D279" s="11"/>
      <c r="E279" s="241">
        <f>VLOOKUP(A279,'Contribution Allocation_Rep 23'!$A$9:$D$312,4,FALSE)</f>
        <v>1.3547728256661804E-3</v>
      </c>
      <c r="F279" s="123"/>
      <c r="G279" s="134">
        <f t="shared" si="42"/>
        <v>-215317</v>
      </c>
      <c r="H279" s="240">
        <f t="shared" si="43"/>
        <v>-36310</v>
      </c>
      <c r="I279" s="120">
        <f t="shared" si="50"/>
        <v>-179007</v>
      </c>
      <c r="J279" s="120"/>
      <c r="K279" s="117"/>
      <c r="L279" s="243">
        <f t="shared" si="44"/>
        <v>-36310</v>
      </c>
      <c r="M279" s="243">
        <f t="shared" si="45"/>
        <v>-36310</v>
      </c>
      <c r="N279" s="243">
        <f t="shared" si="46"/>
        <v>-36310</v>
      </c>
      <c r="O279" s="243">
        <f t="shared" si="47"/>
        <v>-36310</v>
      </c>
      <c r="P279" s="244">
        <f t="shared" si="48"/>
        <v>-33767</v>
      </c>
      <c r="Q279" s="141">
        <f t="shared" si="49"/>
        <v>0</v>
      </c>
    </row>
    <row r="280" spans="1:17">
      <c r="A280" s="193">
        <v>2750</v>
      </c>
      <c r="B280" s="194" t="s">
        <v>265</v>
      </c>
      <c r="C280" s="200">
        <f>VLOOKUP(A280,'Contribution Allocation_Report'!$A$9:$D$314,4,FALSE)</f>
        <v>7.8438626301432452E-5</v>
      </c>
      <c r="D280" s="11"/>
      <c r="E280" s="241">
        <f>VLOOKUP(A280,'Contribution Allocation_Rep 23'!$A$9:$D$312,4,FALSE)</f>
        <v>1.0159552112255744E-4</v>
      </c>
      <c r="F280" s="123"/>
      <c r="G280" s="134">
        <f t="shared" si="42"/>
        <v>-74676</v>
      </c>
      <c r="H280" s="240">
        <f t="shared" si="43"/>
        <v>-12593</v>
      </c>
      <c r="I280" s="120">
        <f t="shared" si="50"/>
        <v>-62083</v>
      </c>
      <c r="J280" s="120"/>
      <c r="K280" s="117"/>
      <c r="L280" s="243">
        <f t="shared" si="44"/>
        <v>-12593</v>
      </c>
      <c r="M280" s="243">
        <f t="shared" si="45"/>
        <v>-12593</v>
      </c>
      <c r="N280" s="243">
        <f t="shared" si="46"/>
        <v>-12593</v>
      </c>
      <c r="O280" s="243">
        <f t="shared" si="47"/>
        <v>-12593</v>
      </c>
      <c r="P280" s="244">
        <f t="shared" si="48"/>
        <v>-11711</v>
      </c>
      <c r="Q280" s="141">
        <f t="shared" si="49"/>
        <v>0</v>
      </c>
    </row>
    <row r="281" spans="1:17">
      <c r="A281" s="195">
        <v>2770</v>
      </c>
      <c r="B281" s="196" t="s">
        <v>266</v>
      </c>
      <c r="C281" s="201">
        <f>VLOOKUP(A281,'Contribution Allocation_Report'!$A$9:$D$314,4,FALSE)</f>
        <v>1.1295319221693162E-3</v>
      </c>
      <c r="D281" s="11"/>
      <c r="E281" s="241">
        <f>VLOOKUP(A281,'Contribution Allocation_Rep 23'!$A$9:$D$312,4,FALSE)</f>
        <v>1.1355353309141255E-3</v>
      </c>
      <c r="F281" s="123"/>
      <c r="G281" s="134">
        <f t="shared" si="42"/>
        <v>-19360</v>
      </c>
      <c r="H281" s="240">
        <f t="shared" si="43"/>
        <v>-3265</v>
      </c>
      <c r="I281" s="120">
        <f t="shared" si="50"/>
        <v>-16095</v>
      </c>
      <c r="J281" s="120"/>
      <c r="K281" s="117"/>
      <c r="L281" s="243">
        <f t="shared" si="44"/>
        <v>-3265</v>
      </c>
      <c r="M281" s="243">
        <f t="shared" si="45"/>
        <v>-3265</v>
      </c>
      <c r="N281" s="243">
        <f t="shared" si="46"/>
        <v>-3265</v>
      </c>
      <c r="O281" s="243">
        <f t="shared" si="47"/>
        <v>-3265</v>
      </c>
      <c r="P281" s="244">
        <f t="shared" si="48"/>
        <v>-3035</v>
      </c>
      <c r="Q281" s="141">
        <f t="shared" si="49"/>
        <v>0</v>
      </c>
    </row>
    <row r="282" spans="1:17">
      <c r="A282" s="193">
        <v>32106</v>
      </c>
      <c r="B282" s="194" t="s">
        <v>267</v>
      </c>
      <c r="C282" s="200">
        <f>VLOOKUP(A282,'Contribution Allocation_Report'!$A$9:$D$314,4,FALSE)</f>
        <v>6.0960710170602757E-5</v>
      </c>
      <c r="D282" s="11"/>
      <c r="E282" s="241">
        <f>VLOOKUP(A282,'Contribution Allocation_Rep 23'!$A$9:$D$312,4,FALSE)</f>
        <v>1.0533212703821049E-4</v>
      </c>
      <c r="F282" s="123"/>
      <c r="G282" s="134">
        <f t="shared" si="42"/>
        <v>-143088</v>
      </c>
      <c r="H282" s="240">
        <f t="shared" si="43"/>
        <v>-24130</v>
      </c>
      <c r="I282" s="120">
        <f t="shared" si="50"/>
        <v>-118958</v>
      </c>
      <c r="J282" s="120"/>
      <c r="K282" s="117"/>
      <c r="L282" s="243">
        <f t="shared" si="44"/>
        <v>-24130</v>
      </c>
      <c r="M282" s="243">
        <f t="shared" si="45"/>
        <v>-24130</v>
      </c>
      <c r="N282" s="243">
        <f t="shared" si="46"/>
        <v>-24130</v>
      </c>
      <c r="O282" s="243">
        <f t="shared" si="47"/>
        <v>-24130</v>
      </c>
      <c r="P282" s="244">
        <f t="shared" si="48"/>
        <v>-22438</v>
      </c>
      <c r="Q282" s="141">
        <f t="shared" si="49"/>
        <v>0</v>
      </c>
    </row>
    <row r="283" spans="1:17">
      <c r="A283" s="195">
        <v>4180</v>
      </c>
      <c r="B283" s="196" t="s">
        <v>268</v>
      </c>
      <c r="C283" s="201">
        <f>VLOOKUP(A283,'Contribution Allocation_Report'!$A$9:$D$314,4,FALSE)</f>
        <v>1.189848791763671E-4</v>
      </c>
      <c r="D283" s="11"/>
      <c r="E283" s="241">
        <f>VLOOKUP(A283,'Contribution Allocation_Rep 23'!$A$9:$D$312,4,FALSE)</f>
        <v>1.2935815386035348E-4</v>
      </c>
      <c r="F283" s="123"/>
      <c r="G283" s="134">
        <f t="shared" si="42"/>
        <v>-33451</v>
      </c>
      <c r="H283" s="240">
        <f t="shared" si="43"/>
        <v>-5641</v>
      </c>
      <c r="I283" s="120">
        <f t="shared" si="50"/>
        <v>-27810</v>
      </c>
      <c r="J283" s="120"/>
      <c r="K283" s="117"/>
      <c r="L283" s="243">
        <f t="shared" si="44"/>
        <v>-5641</v>
      </c>
      <c r="M283" s="243">
        <f t="shared" si="45"/>
        <v>-5641</v>
      </c>
      <c r="N283" s="243">
        <f t="shared" si="46"/>
        <v>-5641</v>
      </c>
      <c r="O283" s="243">
        <f t="shared" si="47"/>
        <v>-5641</v>
      </c>
      <c r="P283" s="244">
        <f t="shared" si="48"/>
        <v>-5246</v>
      </c>
      <c r="Q283" s="141">
        <f t="shared" si="49"/>
        <v>0</v>
      </c>
    </row>
    <row r="284" spans="1:17">
      <c r="A284" s="193">
        <v>21063</v>
      </c>
      <c r="B284" s="194" t="s">
        <v>269</v>
      </c>
      <c r="C284" s="200">
        <f>VLOOKUP(A284,'Contribution Allocation_Report'!$A$9:$D$314,4,FALSE)</f>
        <v>1.977093078799389E-3</v>
      </c>
      <c r="D284" s="11"/>
      <c r="E284" s="241">
        <f>VLOOKUP(A284,'Contribution Allocation_Rep 23'!$A$9:$D$312,4,FALSE)</f>
        <v>1.8388902818222391E-3</v>
      </c>
      <c r="F284" s="123"/>
      <c r="G284" s="134">
        <f t="shared" si="42"/>
        <v>445672</v>
      </c>
      <c r="H284" s="240">
        <f t="shared" si="43"/>
        <v>75155</v>
      </c>
      <c r="I284" s="120">
        <f t="shared" si="50"/>
        <v>370517</v>
      </c>
      <c r="J284" s="120"/>
      <c r="K284" s="117"/>
      <c r="L284" s="243">
        <f t="shared" si="44"/>
        <v>75155</v>
      </c>
      <c r="M284" s="243">
        <f t="shared" si="45"/>
        <v>75155</v>
      </c>
      <c r="N284" s="243">
        <f t="shared" si="46"/>
        <v>75155</v>
      </c>
      <c r="O284" s="243">
        <f t="shared" si="47"/>
        <v>75155</v>
      </c>
      <c r="P284" s="244">
        <f t="shared" si="48"/>
        <v>69897</v>
      </c>
      <c r="Q284" s="141">
        <f t="shared" si="49"/>
        <v>0</v>
      </c>
    </row>
    <row r="285" spans="1:17">
      <c r="A285" s="195">
        <v>10033</v>
      </c>
      <c r="B285" s="196" t="s">
        <v>270</v>
      </c>
      <c r="C285" s="201">
        <f>VLOOKUP(A285,'Contribution Allocation_Report'!$A$9:$D$314,4,FALSE)</f>
        <v>1.2377913595511131E-3</v>
      </c>
      <c r="D285" s="11"/>
      <c r="E285" s="241">
        <f>VLOOKUP(A285,'Contribution Allocation_Rep 23'!$A$9:$D$312,4,FALSE)</f>
        <v>1.3351294534460416E-3</v>
      </c>
      <c r="F285" s="123"/>
      <c r="G285" s="134">
        <f t="shared" si="42"/>
        <v>-313893</v>
      </c>
      <c r="H285" s="240">
        <f t="shared" si="43"/>
        <v>-52933</v>
      </c>
      <c r="I285" s="120">
        <f t="shared" si="50"/>
        <v>-260960</v>
      </c>
      <c r="J285" s="120"/>
      <c r="K285" s="117"/>
      <c r="L285" s="243">
        <f t="shared" si="44"/>
        <v>-52933</v>
      </c>
      <c r="M285" s="243">
        <f t="shared" si="45"/>
        <v>-52933</v>
      </c>
      <c r="N285" s="243">
        <f t="shared" si="46"/>
        <v>-52933</v>
      </c>
      <c r="O285" s="243">
        <f t="shared" si="47"/>
        <v>-52933</v>
      </c>
      <c r="P285" s="244">
        <f t="shared" si="48"/>
        <v>-49228</v>
      </c>
      <c r="Q285" s="141">
        <f t="shared" si="49"/>
        <v>0</v>
      </c>
    </row>
    <row r="286" spans="1:17">
      <c r="A286" s="193">
        <v>15049</v>
      </c>
      <c r="B286" s="194" t="s">
        <v>271</v>
      </c>
      <c r="C286" s="200">
        <f>VLOOKUP(A286,'Contribution Allocation_Report'!$A$9:$D$314,4,FALSE)</f>
        <v>1.5109996118819083E-3</v>
      </c>
      <c r="D286" s="11"/>
      <c r="E286" s="241">
        <f>VLOOKUP(A286,'Contribution Allocation_Rep 23'!$A$9:$D$312,4,FALSE)</f>
        <v>1.4954804834759472E-3</v>
      </c>
      <c r="F286" s="123"/>
      <c r="G286" s="134">
        <f t="shared" si="42"/>
        <v>50046</v>
      </c>
      <c r="H286" s="240">
        <f t="shared" si="43"/>
        <v>8439</v>
      </c>
      <c r="I286" s="120">
        <f t="shared" si="50"/>
        <v>41607</v>
      </c>
      <c r="J286" s="120"/>
      <c r="K286" s="117"/>
      <c r="L286" s="243">
        <f t="shared" si="44"/>
        <v>8439</v>
      </c>
      <c r="M286" s="243">
        <f t="shared" si="45"/>
        <v>8439</v>
      </c>
      <c r="N286" s="243">
        <f t="shared" si="46"/>
        <v>8439</v>
      </c>
      <c r="O286" s="243">
        <f t="shared" si="47"/>
        <v>8439</v>
      </c>
      <c r="P286" s="244">
        <f t="shared" si="48"/>
        <v>7851</v>
      </c>
      <c r="Q286" s="141">
        <f t="shared" si="49"/>
        <v>0</v>
      </c>
    </row>
    <row r="287" spans="1:17">
      <c r="A287" s="195">
        <v>1315</v>
      </c>
      <c r="B287" s="196" t="s">
        <v>272</v>
      </c>
      <c r="C287" s="201">
        <f>VLOOKUP(A287,'Contribution Allocation_Report'!$A$9:$D$314,4,FALSE)</f>
        <v>8.2283610815928087E-4</v>
      </c>
      <c r="D287" s="11"/>
      <c r="E287" s="241">
        <f>VLOOKUP(A287,'Contribution Allocation_Rep 23'!$A$9:$D$312,4,FALSE)</f>
        <v>8.9903785977130872E-4</v>
      </c>
      <c r="F287" s="123"/>
      <c r="G287" s="134">
        <f t="shared" si="42"/>
        <v>-245733</v>
      </c>
      <c r="H287" s="240">
        <f t="shared" si="43"/>
        <v>-41439</v>
      </c>
      <c r="I287" s="120">
        <f t="shared" si="50"/>
        <v>-204294</v>
      </c>
      <c r="J287" s="120"/>
      <c r="K287" s="117"/>
      <c r="L287" s="243">
        <f t="shared" si="44"/>
        <v>-41439</v>
      </c>
      <c r="M287" s="243">
        <f t="shared" si="45"/>
        <v>-41439</v>
      </c>
      <c r="N287" s="243">
        <f t="shared" si="46"/>
        <v>-41439</v>
      </c>
      <c r="O287" s="243">
        <f t="shared" si="47"/>
        <v>-41439</v>
      </c>
      <c r="P287" s="244">
        <f t="shared" si="48"/>
        <v>-38538</v>
      </c>
      <c r="Q287" s="141">
        <f t="shared" si="49"/>
        <v>0</v>
      </c>
    </row>
    <row r="288" spans="1:17">
      <c r="A288" s="193">
        <v>3340</v>
      </c>
      <c r="B288" s="194" t="s">
        <v>273</v>
      </c>
      <c r="C288" s="200">
        <f>VLOOKUP(A288,'Contribution Allocation_Report'!$A$9:$D$314,4,FALSE)</f>
        <v>2.6520735541376217E-4</v>
      </c>
      <c r="D288" s="11"/>
      <c r="E288" s="241">
        <f>VLOOKUP(A288,'Contribution Allocation_Rep 23'!$A$9:$D$312,4,FALSE)</f>
        <v>2.882424787644888E-4</v>
      </c>
      <c r="F288" s="123"/>
      <c r="G288" s="134">
        <f t="shared" si="42"/>
        <v>-74283</v>
      </c>
      <c r="H288" s="240">
        <f t="shared" si="43"/>
        <v>-12527</v>
      </c>
      <c r="I288" s="120">
        <f t="shared" si="50"/>
        <v>-61756</v>
      </c>
      <c r="J288" s="120"/>
      <c r="K288" s="117"/>
      <c r="L288" s="243">
        <f t="shared" si="44"/>
        <v>-12527</v>
      </c>
      <c r="M288" s="243">
        <f t="shared" si="45"/>
        <v>-12527</v>
      </c>
      <c r="N288" s="243">
        <f t="shared" si="46"/>
        <v>-12527</v>
      </c>
      <c r="O288" s="243">
        <f t="shared" si="47"/>
        <v>-12527</v>
      </c>
      <c r="P288" s="244">
        <f t="shared" si="48"/>
        <v>-11648</v>
      </c>
      <c r="Q288" s="141">
        <f t="shared" si="49"/>
        <v>0</v>
      </c>
    </row>
    <row r="289" spans="1:17">
      <c r="A289" s="195">
        <v>3350</v>
      </c>
      <c r="B289" s="196" t="s">
        <v>274</v>
      </c>
      <c r="C289" s="201">
        <f>VLOOKUP(A289,'Contribution Allocation_Report'!$A$9:$D$314,4,FALSE)</f>
        <v>2.1037883414620432E-3</v>
      </c>
      <c r="D289" s="11"/>
      <c r="E289" s="241">
        <f>VLOOKUP(A289,'Contribution Allocation_Rep 23'!$A$9:$D$312,4,FALSE)</f>
        <v>2.0072645381056147E-3</v>
      </c>
      <c r="F289" s="123"/>
      <c r="G289" s="134">
        <f t="shared" si="42"/>
        <v>311267</v>
      </c>
      <c r="H289" s="240">
        <f t="shared" si="43"/>
        <v>52490</v>
      </c>
      <c r="I289" s="120">
        <f t="shared" si="50"/>
        <v>258777</v>
      </c>
      <c r="J289" s="120"/>
      <c r="K289" s="117"/>
      <c r="L289" s="243">
        <f t="shared" si="44"/>
        <v>52490</v>
      </c>
      <c r="M289" s="243">
        <f t="shared" si="45"/>
        <v>52490</v>
      </c>
      <c r="N289" s="243">
        <f t="shared" si="46"/>
        <v>52490</v>
      </c>
      <c r="O289" s="243">
        <f t="shared" si="47"/>
        <v>52490</v>
      </c>
      <c r="P289" s="244">
        <f t="shared" si="48"/>
        <v>48817</v>
      </c>
      <c r="Q289" s="141">
        <f t="shared" si="49"/>
        <v>0</v>
      </c>
    </row>
    <row r="290" spans="1:17">
      <c r="A290" s="193">
        <v>24073</v>
      </c>
      <c r="B290" s="194" t="s">
        <v>275</v>
      </c>
      <c r="C290" s="200">
        <f>VLOOKUP(A290,'Contribution Allocation_Report'!$A$9:$D$314,4,FALSE)</f>
        <v>2.437329166815882E-4</v>
      </c>
      <c r="D290" s="11"/>
      <c r="E290" s="241">
        <f>VLOOKUP(A290,'Contribution Allocation_Rep 23'!$A$9:$D$312,4,FALSE)</f>
        <v>2.4492229522834292E-4</v>
      </c>
      <c r="F290" s="123"/>
      <c r="G290" s="134">
        <f t="shared" si="42"/>
        <v>-3835</v>
      </c>
      <c r="H290" s="240">
        <f t="shared" si="43"/>
        <v>-647</v>
      </c>
      <c r="I290" s="120">
        <f t="shared" si="50"/>
        <v>-3188</v>
      </c>
      <c r="J290" s="120"/>
      <c r="K290" s="117"/>
      <c r="L290" s="243">
        <f t="shared" si="44"/>
        <v>-647</v>
      </c>
      <c r="M290" s="243">
        <f t="shared" si="45"/>
        <v>-647</v>
      </c>
      <c r="N290" s="243">
        <f t="shared" si="46"/>
        <v>-647</v>
      </c>
      <c r="O290" s="243">
        <f t="shared" si="47"/>
        <v>-647</v>
      </c>
      <c r="P290" s="244">
        <f t="shared" si="48"/>
        <v>-600</v>
      </c>
      <c r="Q290" s="141">
        <f t="shared" si="49"/>
        <v>0</v>
      </c>
    </row>
    <row r="291" spans="1:17">
      <c r="A291" s="195">
        <v>2100</v>
      </c>
      <c r="B291" s="196" t="s">
        <v>276</v>
      </c>
      <c r="C291" s="201">
        <f>VLOOKUP(A291,'Contribution Allocation_Report'!$A$9:$D$314,4,FALSE)</f>
        <v>2.3114661858737436E-4</v>
      </c>
      <c r="D291" s="11"/>
      <c r="E291" s="241">
        <f>VLOOKUP(A291,'Contribution Allocation_Rep 23'!$A$9:$D$312,4,FALSE)</f>
        <v>2.5948458183420575E-4</v>
      </c>
      <c r="F291" s="123"/>
      <c r="G291" s="134">
        <f t="shared" si="42"/>
        <v>-91383</v>
      </c>
      <c r="H291" s="240">
        <f t="shared" si="43"/>
        <v>-15410</v>
      </c>
      <c r="I291" s="120">
        <f t="shared" si="50"/>
        <v>-75973</v>
      </c>
      <c r="J291" s="120"/>
      <c r="K291" s="117"/>
      <c r="L291" s="243">
        <f t="shared" si="44"/>
        <v>-15410</v>
      </c>
      <c r="M291" s="243">
        <f t="shared" si="45"/>
        <v>-15410</v>
      </c>
      <c r="N291" s="243">
        <f t="shared" si="46"/>
        <v>-15410</v>
      </c>
      <c r="O291" s="243">
        <f t="shared" si="47"/>
        <v>-15410</v>
      </c>
      <c r="P291" s="244">
        <f t="shared" si="48"/>
        <v>-14333</v>
      </c>
      <c r="Q291" s="141">
        <f t="shared" si="49"/>
        <v>0</v>
      </c>
    </row>
    <row r="292" spans="1:17">
      <c r="A292" s="193">
        <v>2130</v>
      </c>
      <c r="B292" s="194" t="s">
        <v>277</v>
      </c>
      <c r="C292" s="200">
        <f>VLOOKUP(A292,'Contribution Allocation_Report'!$A$9:$D$314,4,FALSE)</f>
        <v>7.4599137986977945E-5</v>
      </c>
      <c r="D292" s="11"/>
      <c r="E292" s="241">
        <f>VLOOKUP(A292,'Contribution Allocation_Rep 23'!$A$9:$D$312,4,FALSE)</f>
        <v>6.6080304148546644E-5</v>
      </c>
      <c r="F292" s="123"/>
      <c r="G292" s="134">
        <f t="shared" si="42"/>
        <v>27471</v>
      </c>
      <c r="H292" s="240">
        <f t="shared" si="43"/>
        <v>4633</v>
      </c>
      <c r="I292" s="120">
        <f t="shared" si="50"/>
        <v>22838</v>
      </c>
      <c r="J292" s="120"/>
      <c r="K292" s="117"/>
      <c r="L292" s="243">
        <f t="shared" si="44"/>
        <v>4633</v>
      </c>
      <c r="M292" s="243">
        <f t="shared" si="45"/>
        <v>4633</v>
      </c>
      <c r="N292" s="243">
        <f t="shared" si="46"/>
        <v>4633</v>
      </c>
      <c r="O292" s="243">
        <f t="shared" si="47"/>
        <v>4633</v>
      </c>
      <c r="P292" s="244">
        <f t="shared" si="48"/>
        <v>4306</v>
      </c>
      <c r="Q292" s="141">
        <f t="shared" si="49"/>
        <v>0</v>
      </c>
    </row>
    <row r="293" spans="1:17">
      <c r="A293" s="195">
        <v>32099</v>
      </c>
      <c r="B293" s="196" t="s">
        <v>278</v>
      </c>
      <c r="C293" s="201">
        <f>VLOOKUP(A293,'Contribution Allocation_Report'!$A$9:$D$314,4,FALSE)</f>
        <v>9.4024279275240594E-5</v>
      </c>
      <c r="D293" s="11"/>
      <c r="E293" s="241">
        <f>VLOOKUP(A293,'Contribution Allocation_Rep 23'!$A$9:$D$312,4,FALSE)</f>
        <v>1.0355985834457131E-4</v>
      </c>
      <c r="F293" s="123"/>
      <c r="G293" s="134">
        <f t="shared" si="42"/>
        <v>-30750</v>
      </c>
      <c r="H293" s="240">
        <f t="shared" si="43"/>
        <v>-5185</v>
      </c>
      <c r="I293" s="120">
        <f t="shared" si="50"/>
        <v>-25565</v>
      </c>
      <c r="J293" s="120"/>
      <c r="K293" s="117"/>
      <c r="L293" s="243">
        <f t="shared" si="44"/>
        <v>-5185</v>
      </c>
      <c r="M293" s="243">
        <f t="shared" si="45"/>
        <v>-5185</v>
      </c>
      <c r="N293" s="243">
        <f t="shared" si="46"/>
        <v>-5185</v>
      </c>
      <c r="O293" s="243">
        <f t="shared" si="47"/>
        <v>-5185</v>
      </c>
      <c r="P293" s="244">
        <f t="shared" si="48"/>
        <v>-4825</v>
      </c>
      <c r="Q293" s="141">
        <f t="shared" si="49"/>
        <v>0</v>
      </c>
    </row>
    <row r="294" spans="1:17">
      <c r="A294" s="193">
        <v>32100</v>
      </c>
      <c r="B294" s="194" t="s">
        <v>279</v>
      </c>
      <c r="C294" s="200">
        <f>VLOOKUP(A294,'Contribution Allocation_Report'!$A$9:$D$314,4,FALSE)</f>
        <v>1.7968648277360175E-4</v>
      </c>
      <c r="D294" s="11"/>
      <c r="E294" s="241">
        <f>VLOOKUP(A294,'Contribution Allocation_Rep 23'!$A$9:$D$312,4,FALSE)</f>
        <v>2.0218704766497445E-4</v>
      </c>
      <c r="F294" s="123"/>
      <c r="G294" s="134">
        <f t="shared" si="42"/>
        <v>-72559</v>
      </c>
      <c r="H294" s="240">
        <f t="shared" si="43"/>
        <v>-12236</v>
      </c>
      <c r="I294" s="120">
        <f t="shared" si="50"/>
        <v>-60323</v>
      </c>
      <c r="J294" s="120"/>
      <c r="K294" s="117"/>
      <c r="L294" s="243">
        <f t="shared" si="44"/>
        <v>-12236</v>
      </c>
      <c r="M294" s="243">
        <f t="shared" si="45"/>
        <v>-12236</v>
      </c>
      <c r="N294" s="243">
        <f t="shared" si="46"/>
        <v>-12236</v>
      </c>
      <c r="O294" s="243">
        <f t="shared" si="47"/>
        <v>-12236</v>
      </c>
      <c r="P294" s="244">
        <f t="shared" si="48"/>
        <v>-11379</v>
      </c>
      <c r="Q294" s="141">
        <f t="shared" si="49"/>
        <v>0</v>
      </c>
    </row>
    <row r="295" spans="1:17">
      <c r="A295" s="195">
        <v>32101</v>
      </c>
      <c r="B295" s="196" t="s">
        <v>280</v>
      </c>
      <c r="C295" s="201">
        <f>VLOOKUP(A295,'Contribution Allocation_Report'!$A$9:$D$314,4,FALSE)</f>
        <v>6.3787327334618345E-5</v>
      </c>
      <c r="D295" s="11"/>
      <c r="E295" s="241">
        <f>VLOOKUP(A295,'Contribution Allocation_Rep 23'!$A$9:$D$312,4,FALSE)</f>
        <v>7.9603674623655472E-5</v>
      </c>
      <c r="F295" s="123"/>
      <c r="G295" s="134">
        <f t="shared" si="42"/>
        <v>-51004</v>
      </c>
      <c r="H295" s="240">
        <f t="shared" si="43"/>
        <v>-8601</v>
      </c>
      <c r="I295" s="120">
        <f t="shared" si="50"/>
        <v>-42403</v>
      </c>
      <c r="J295" s="120"/>
      <c r="K295" s="117"/>
      <c r="L295" s="243">
        <f t="shared" si="44"/>
        <v>-8601</v>
      </c>
      <c r="M295" s="243">
        <f t="shared" si="45"/>
        <v>-8601</v>
      </c>
      <c r="N295" s="243">
        <f t="shared" si="46"/>
        <v>-8601</v>
      </c>
      <c r="O295" s="243">
        <f t="shared" si="47"/>
        <v>-8601</v>
      </c>
      <c r="P295" s="244">
        <f t="shared" si="48"/>
        <v>-7999</v>
      </c>
      <c r="Q295" s="141">
        <f t="shared" si="49"/>
        <v>0</v>
      </c>
    </row>
    <row r="296" spans="1:17">
      <c r="A296" s="193">
        <v>32102</v>
      </c>
      <c r="B296" s="194" t="s">
        <v>281</v>
      </c>
      <c r="C296" s="200">
        <f>VLOOKUP(A296,'Contribution Allocation_Report'!$A$9:$D$314,4,FALSE)</f>
        <v>1.0392529106363963E-4</v>
      </c>
      <c r="D296" s="11"/>
      <c r="E296" s="241">
        <f>VLOOKUP(A296,'Contribution Allocation_Rep 23'!$A$9:$D$312,4,FALSE)</f>
        <v>1.0894650752671602E-4</v>
      </c>
      <c r="F296" s="123"/>
      <c r="G296" s="134">
        <f t="shared" si="42"/>
        <v>-16192</v>
      </c>
      <c r="H296" s="240">
        <f t="shared" si="43"/>
        <v>-2731</v>
      </c>
      <c r="I296" s="120">
        <f t="shared" si="50"/>
        <v>-13461</v>
      </c>
      <c r="J296" s="120"/>
      <c r="K296" s="117"/>
      <c r="L296" s="243">
        <f t="shared" si="44"/>
        <v>-2731</v>
      </c>
      <c r="M296" s="243">
        <f t="shared" si="45"/>
        <v>-2731</v>
      </c>
      <c r="N296" s="243">
        <f t="shared" si="46"/>
        <v>-2731</v>
      </c>
      <c r="O296" s="243">
        <f t="shared" si="47"/>
        <v>-2731</v>
      </c>
      <c r="P296" s="244">
        <f t="shared" si="48"/>
        <v>-2537</v>
      </c>
      <c r="Q296" s="141">
        <f t="shared" si="49"/>
        <v>0</v>
      </c>
    </row>
    <row r="297" spans="1:17">
      <c r="A297" s="195">
        <v>2880</v>
      </c>
      <c r="B297" s="196" t="s">
        <v>282</v>
      </c>
      <c r="C297" s="201">
        <f>VLOOKUP(A297,'Contribution Allocation_Report'!$A$9:$D$314,4,FALSE)</f>
        <v>3.5984406840787276E-5</v>
      </c>
      <c r="D297" s="11"/>
      <c r="E297" s="241">
        <f>VLOOKUP(A297,'Contribution Allocation_Rep 23'!$A$9:$D$312,4,FALSE)</f>
        <v>3.562871201350493E-5</v>
      </c>
      <c r="F297" s="123"/>
      <c r="G297" s="134">
        <f t="shared" si="42"/>
        <v>1147</v>
      </c>
      <c r="H297" s="240">
        <f t="shared" si="43"/>
        <v>193</v>
      </c>
      <c r="I297" s="120">
        <f t="shared" si="50"/>
        <v>954</v>
      </c>
      <c r="J297" s="120"/>
      <c r="K297" s="117"/>
      <c r="L297" s="243">
        <f t="shared" si="44"/>
        <v>193</v>
      </c>
      <c r="M297" s="243">
        <f t="shared" si="45"/>
        <v>193</v>
      </c>
      <c r="N297" s="243">
        <f t="shared" si="46"/>
        <v>193</v>
      </c>
      <c r="O297" s="243">
        <f t="shared" si="47"/>
        <v>193</v>
      </c>
      <c r="P297" s="244">
        <f t="shared" si="48"/>
        <v>182</v>
      </c>
      <c r="Q297" s="141">
        <f t="shared" si="49"/>
        <v>0</v>
      </c>
    </row>
    <row r="298" spans="1:17">
      <c r="A298" s="193">
        <v>2490</v>
      </c>
      <c r="B298" s="194" t="s">
        <v>283</v>
      </c>
      <c r="C298" s="200">
        <f>VLOOKUP(A298,'Contribution Allocation_Report'!$A$9:$D$314,4,FALSE)</f>
        <v>2.9380329905638646E-4</v>
      </c>
      <c r="D298" s="11"/>
      <c r="E298" s="241">
        <f>VLOOKUP(A298,'Contribution Allocation_Rep 23'!$A$9:$D$312,4,FALSE)</f>
        <v>2.8921155179401564E-4</v>
      </c>
      <c r="F298" s="123"/>
      <c r="G298" s="134">
        <f t="shared" si="42"/>
        <v>14807</v>
      </c>
      <c r="H298" s="240">
        <f t="shared" si="43"/>
        <v>2497</v>
      </c>
      <c r="I298" s="120">
        <f t="shared" si="50"/>
        <v>12310</v>
      </c>
      <c r="J298" s="120"/>
      <c r="K298" s="117"/>
      <c r="L298" s="243">
        <f t="shared" si="44"/>
        <v>2497</v>
      </c>
      <c r="M298" s="243">
        <f t="shared" si="45"/>
        <v>2497</v>
      </c>
      <c r="N298" s="243">
        <f t="shared" si="46"/>
        <v>2497</v>
      </c>
      <c r="O298" s="243">
        <f t="shared" si="47"/>
        <v>2497</v>
      </c>
      <c r="P298" s="244">
        <f t="shared" si="48"/>
        <v>2322</v>
      </c>
      <c r="Q298" s="141">
        <f t="shared" si="49"/>
        <v>0</v>
      </c>
    </row>
    <row r="299" spans="1:17">
      <c r="A299" s="195">
        <v>2530</v>
      </c>
      <c r="B299" s="196" t="s">
        <v>284</v>
      </c>
      <c r="C299" s="201">
        <f>VLOOKUP(A299,'Contribution Allocation_Report'!$A$9:$D$314,4,FALSE)</f>
        <v>5.5409548129049932E-5</v>
      </c>
      <c r="D299" s="11"/>
      <c r="E299" s="241">
        <f>VLOOKUP(A299,'Contribution Allocation_Rep 23'!$A$9:$D$312,4,FALSE)</f>
        <v>5.166643413279152E-5</v>
      </c>
      <c r="F299" s="123"/>
      <c r="G299" s="134">
        <f t="shared" si="42"/>
        <v>12071</v>
      </c>
      <c r="H299" s="240">
        <f t="shared" si="43"/>
        <v>2036</v>
      </c>
      <c r="I299" s="120">
        <f t="shared" si="50"/>
        <v>10035</v>
      </c>
      <c r="J299" s="120"/>
      <c r="K299" s="117"/>
      <c r="L299" s="243">
        <f t="shared" si="44"/>
        <v>2036</v>
      </c>
      <c r="M299" s="243">
        <f t="shared" si="45"/>
        <v>2036</v>
      </c>
      <c r="N299" s="243">
        <f t="shared" si="46"/>
        <v>2036</v>
      </c>
      <c r="O299" s="243">
        <f t="shared" si="47"/>
        <v>2036</v>
      </c>
      <c r="P299" s="244">
        <f t="shared" si="48"/>
        <v>1891</v>
      </c>
      <c r="Q299" s="141">
        <f t="shared" si="49"/>
        <v>0</v>
      </c>
    </row>
    <row r="300" spans="1:17">
      <c r="A300" s="193">
        <v>2560</v>
      </c>
      <c r="B300" s="194" t="s">
        <v>285</v>
      </c>
      <c r="C300" s="200">
        <f>VLOOKUP(A300,'Contribution Allocation_Report'!$A$9:$D$314,4,FALSE)</f>
        <v>1.5566023687946931E-4</v>
      </c>
      <c r="D300" s="11"/>
      <c r="E300" s="241">
        <f>VLOOKUP(A300,'Contribution Allocation_Rep 23'!$A$9:$D$312,4,FALSE)</f>
        <v>1.1873327208617179E-4</v>
      </c>
      <c r="F300" s="123"/>
      <c r="G300" s="134">
        <f t="shared" si="42"/>
        <v>119081</v>
      </c>
      <c r="H300" s="240">
        <f t="shared" si="43"/>
        <v>20081</v>
      </c>
      <c r="I300" s="120">
        <f t="shared" si="50"/>
        <v>99000</v>
      </c>
      <c r="J300" s="120"/>
      <c r="K300" s="117"/>
      <c r="L300" s="243">
        <f t="shared" si="44"/>
        <v>20081</v>
      </c>
      <c r="M300" s="243">
        <f t="shared" si="45"/>
        <v>20081</v>
      </c>
      <c r="N300" s="243">
        <f t="shared" si="46"/>
        <v>20081</v>
      </c>
      <c r="O300" s="243">
        <f t="shared" si="47"/>
        <v>20081</v>
      </c>
      <c r="P300" s="244">
        <f t="shared" si="48"/>
        <v>18676</v>
      </c>
      <c r="Q300" s="141">
        <f t="shared" si="49"/>
        <v>0</v>
      </c>
    </row>
    <row r="301" spans="1:17">
      <c r="A301" s="195">
        <v>2610</v>
      </c>
      <c r="B301" s="196" t="s">
        <v>286</v>
      </c>
      <c r="C301" s="201">
        <f>VLOOKUP(A301,'Contribution Allocation_Report'!$A$9:$D$314,4,FALSE)</f>
        <v>3.1069233661137961E-5</v>
      </c>
      <c r="D301" s="11"/>
      <c r="E301" s="241">
        <f>VLOOKUP(A301,'Contribution Allocation_Rep 23'!$A$9:$D$312,4,FALSE)</f>
        <v>3.2363547031135208E-5</v>
      </c>
      <c r="F301" s="123"/>
      <c r="G301" s="134">
        <f t="shared" si="42"/>
        <v>-4174</v>
      </c>
      <c r="H301" s="240">
        <f t="shared" si="43"/>
        <v>-704</v>
      </c>
      <c r="I301" s="120">
        <f t="shared" si="50"/>
        <v>-3470</v>
      </c>
      <c r="J301" s="120"/>
      <c r="K301" s="117"/>
      <c r="L301" s="243">
        <f t="shared" si="44"/>
        <v>-704</v>
      </c>
      <c r="M301" s="243">
        <f t="shared" si="45"/>
        <v>-704</v>
      </c>
      <c r="N301" s="243">
        <f t="shared" si="46"/>
        <v>-704</v>
      </c>
      <c r="O301" s="243">
        <f t="shared" si="47"/>
        <v>-704</v>
      </c>
      <c r="P301" s="244">
        <f t="shared" si="48"/>
        <v>-654</v>
      </c>
      <c r="Q301" s="141">
        <f t="shared" si="49"/>
        <v>0</v>
      </c>
    </row>
    <row r="302" spans="1:17">
      <c r="A302" s="193">
        <v>2800</v>
      </c>
      <c r="B302" s="194" t="s">
        <v>287</v>
      </c>
      <c r="C302" s="200">
        <f>VLOOKUP(A302,'Contribution Allocation_Report'!$A$9:$D$314,4,FALSE)</f>
        <v>9.2972149553079248E-5</v>
      </c>
      <c r="D302" s="11"/>
      <c r="E302" s="241">
        <f>VLOOKUP(A302,'Contribution Allocation_Rep 23'!$A$9:$D$312,4,FALSE)</f>
        <v>1.0184870236450589E-4</v>
      </c>
      <c r="F302" s="123"/>
      <c r="G302" s="134">
        <f t="shared" si="42"/>
        <v>-28625</v>
      </c>
      <c r="H302" s="240">
        <f t="shared" si="43"/>
        <v>-4827</v>
      </c>
      <c r="I302" s="120">
        <f t="shared" si="50"/>
        <v>-23798</v>
      </c>
      <c r="J302" s="120"/>
      <c r="K302" s="117"/>
      <c r="L302" s="243">
        <f t="shared" si="44"/>
        <v>-4827</v>
      </c>
      <c r="M302" s="243">
        <f t="shared" si="45"/>
        <v>-4827</v>
      </c>
      <c r="N302" s="243">
        <f t="shared" si="46"/>
        <v>-4827</v>
      </c>
      <c r="O302" s="243">
        <f t="shared" si="47"/>
        <v>-4827</v>
      </c>
      <c r="P302" s="244">
        <f t="shared" si="48"/>
        <v>-4490</v>
      </c>
      <c r="Q302" s="141">
        <f t="shared" si="49"/>
        <v>0</v>
      </c>
    </row>
    <row r="303" spans="1:17">
      <c r="A303" s="195">
        <v>20317</v>
      </c>
      <c r="B303" s="223" t="s">
        <v>288</v>
      </c>
      <c r="C303" s="224">
        <f>VLOOKUP(A303,'Contribution Allocation_Report'!$A$9:$D$314,4,FALSE)</f>
        <v>1.5480440001592013E-4</v>
      </c>
      <c r="D303" s="11"/>
      <c r="E303" s="241">
        <f>VLOOKUP(A303,'Contribution Allocation_Rep 23'!$A$9:$D$312,4,FALSE)</f>
        <v>1.9155343550313934E-4</v>
      </c>
      <c r="F303" s="123"/>
      <c r="G303" s="134">
        <f t="shared" si="42"/>
        <v>-118507</v>
      </c>
      <c r="H303" s="240">
        <f t="shared" si="43"/>
        <v>-19984</v>
      </c>
      <c r="I303" s="120">
        <f t="shared" si="50"/>
        <v>-98523</v>
      </c>
      <c r="J303" s="120"/>
      <c r="K303" s="117"/>
      <c r="L303" s="243">
        <f t="shared" si="44"/>
        <v>-19984</v>
      </c>
      <c r="M303" s="243">
        <f t="shared" si="45"/>
        <v>-19984</v>
      </c>
      <c r="N303" s="243">
        <f t="shared" si="46"/>
        <v>-19984</v>
      </c>
      <c r="O303" s="243">
        <f t="shared" si="47"/>
        <v>-19984</v>
      </c>
      <c r="P303" s="244">
        <f t="shared" si="48"/>
        <v>-18587</v>
      </c>
      <c r="Q303" s="141">
        <f t="shared" si="49"/>
        <v>0</v>
      </c>
    </row>
    <row r="304" spans="1:17">
      <c r="A304" s="193">
        <v>2442</v>
      </c>
      <c r="B304" s="194" t="s">
        <v>426</v>
      </c>
      <c r="C304" s="200">
        <f>VLOOKUP(A304,'Contribution Allocation_Report'!$A$9:$D$314,4,FALSE)</f>
        <v>1.4387481364839321E-4</v>
      </c>
      <c r="D304" s="11"/>
      <c r="E304" s="241">
        <f>VLOOKUP(A304,'Contribution Allocation_Rep 23'!$A$9:$D$312,4,FALSE)</f>
        <v>9.0647615005200129E-5</v>
      </c>
      <c r="F304" s="123"/>
      <c r="G304" s="134">
        <f t="shared" si="42"/>
        <v>171645</v>
      </c>
      <c r="H304" s="240">
        <f t="shared" si="43"/>
        <v>28945</v>
      </c>
      <c r="I304" s="120">
        <f t="shared" si="50"/>
        <v>142700</v>
      </c>
      <c r="J304" s="120"/>
      <c r="K304" s="117"/>
      <c r="L304" s="243">
        <f t="shared" si="44"/>
        <v>28945</v>
      </c>
      <c r="M304" s="243">
        <f t="shared" si="45"/>
        <v>28945</v>
      </c>
      <c r="N304" s="243">
        <f t="shared" si="46"/>
        <v>28945</v>
      </c>
      <c r="O304" s="243">
        <f t="shared" si="47"/>
        <v>28945</v>
      </c>
      <c r="P304" s="244">
        <f t="shared" si="48"/>
        <v>26920</v>
      </c>
      <c r="Q304" s="141">
        <f t="shared" si="49"/>
        <v>0</v>
      </c>
    </row>
    <row r="305" spans="1:17" s="191" customFormat="1">
      <c r="A305" s="195">
        <v>30090</v>
      </c>
      <c r="B305" s="196" t="s">
        <v>289</v>
      </c>
      <c r="C305" s="201">
        <f>VLOOKUP(A305,'Contribution Allocation_Report'!$A$9:$D$314,4,FALSE)</f>
        <v>2.7945821694900738E-4</v>
      </c>
      <c r="D305" s="11"/>
      <c r="E305" s="241">
        <f>VLOOKUP(A305,'Contribution Allocation_Rep 23'!$A$9:$D$312,4,FALSE)</f>
        <v>2.957156905957949E-4</v>
      </c>
      <c r="F305" s="123"/>
      <c r="G305" s="242">
        <f t="shared" si="42"/>
        <v>-52427</v>
      </c>
      <c r="H305" s="240">
        <f t="shared" si="43"/>
        <v>-8841</v>
      </c>
      <c r="I305" s="240">
        <f t="shared" ref="I305" si="51">G305-H305</f>
        <v>-43586</v>
      </c>
      <c r="J305" s="240"/>
      <c r="K305" s="117"/>
      <c r="L305" s="243">
        <f t="shared" si="44"/>
        <v>-8841</v>
      </c>
      <c r="M305" s="243">
        <f t="shared" si="45"/>
        <v>-8841</v>
      </c>
      <c r="N305" s="243">
        <f t="shared" si="46"/>
        <v>-8841</v>
      </c>
      <c r="O305" s="243">
        <f t="shared" si="47"/>
        <v>-8841</v>
      </c>
      <c r="P305" s="244">
        <f t="shared" si="48"/>
        <v>-8222</v>
      </c>
      <c r="Q305" s="244">
        <f>+I305-SUM(L305:P305)</f>
        <v>0</v>
      </c>
    </row>
    <row r="306" spans="1:17">
      <c r="A306" s="193">
        <v>29330</v>
      </c>
      <c r="B306" s="194" t="s">
        <v>290</v>
      </c>
      <c r="C306" s="200">
        <f>VLOOKUP(A306,'Contribution Allocation_Report'!$A$9:$D$314,4,FALSE)</f>
        <v>1.399175496187714E-4</v>
      </c>
      <c r="D306" s="11"/>
      <c r="E306" s="241">
        <f>VLOOKUP(A306,'Contribution Allocation_Rep 23'!$A$9:$D$312,4,FALSE)</f>
        <v>1.3488448924495251E-4</v>
      </c>
      <c r="F306" s="123"/>
      <c r="G306" s="134">
        <f t="shared" si="42"/>
        <v>16230</v>
      </c>
      <c r="H306" s="240">
        <f t="shared" si="43"/>
        <v>2737</v>
      </c>
      <c r="I306" s="120">
        <f t="shared" si="50"/>
        <v>13493</v>
      </c>
      <c r="J306" s="120"/>
      <c r="K306" s="117"/>
      <c r="L306" s="243">
        <f t="shared" si="44"/>
        <v>2737</v>
      </c>
      <c r="M306" s="243">
        <f t="shared" si="45"/>
        <v>2737</v>
      </c>
      <c r="N306" s="243">
        <f t="shared" si="46"/>
        <v>2737</v>
      </c>
      <c r="O306" s="243">
        <f t="shared" si="47"/>
        <v>2737</v>
      </c>
      <c r="P306" s="244">
        <f t="shared" si="48"/>
        <v>2545</v>
      </c>
      <c r="Q306" s="141">
        <f t="shared" si="49"/>
        <v>0</v>
      </c>
    </row>
    <row r="307" spans="1:17">
      <c r="A307" s="195">
        <v>12038</v>
      </c>
      <c r="B307" s="196" t="s">
        <v>291</v>
      </c>
      <c r="C307" s="201">
        <f>VLOOKUP(A307,'Contribution Allocation_Report'!$A$9:$D$314,4,FALSE)</f>
        <v>2.3672840231487068E-3</v>
      </c>
      <c r="D307" s="11"/>
      <c r="E307" s="241">
        <f>VLOOKUP(A307,'Contribution Allocation_Rep 23'!$A$9:$D$312,4,FALSE)</f>
        <v>2.4942892133502539E-3</v>
      </c>
      <c r="F307" s="123"/>
      <c r="G307" s="134">
        <f t="shared" si="42"/>
        <v>-409562</v>
      </c>
      <c r="H307" s="240">
        <f t="shared" si="43"/>
        <v>-69066</v>
      </c>
      <c r="I307" s="120">
        <f t="shared" si="50"/>
        <v>-340496</v>
      </c>
      <c r="J307" s="120"/>
      <c r="K307" s="117"/>
      <c r="L307" s="243">
        <f t="shared" si="44"/>
        <v>-69066</v>
      </c>
      <c r="M307" s="243">
        <f t="shared" si="45"/>
        <v>-69066</v>
      </c>
      <c r="N307" s="243">
        <f t="shared" si="46"/>
        <v>-69066</v>
      </c>
      <c r="O307" s="243">
        <f t="shared" si="47"/>
        <v>-69066</v>
      </c>
      <c r="P307" s="244">
        <f t="shared" si="48"/>
        <v>-64232</v>
      </c>
      <c r="Q307" s="141">
        <f t="shared" si="49"/>
        <v>0</v>
      </c>
    </row>
    <row r="308" spans="1:17" s="191" customFormat="1">
      <c r="A308" s="193">
        <v>8099</v>
      </c>
      <c r="B308" s="194" t="s">
        <v>292</v>
      </c>
      <c r="C308" s="200">
        <f>VLOOKUP(A308,'Contribution Allocation_Report'!$A$9:$D$314,4,FALSE)</f>
        <v>4.2172264398534619E-3</v>
      </c>
      <c r="D308" s="11"/>
      <c r="E308" s="241">
        <f>VLOOKUP(A308,'Contribution Allocation_Rep 23'!$A$9:$D$312,4,FALSE)</f>
        <v>4.2291132743440246E-3</v>
      </c>
      <c r="F308" s="123"/>
      <c r="G308" s="242">
        <f t="shared" si="42"/>
        <v>-38332</v>
      </c>
      <c r="H308" s="240">
        <f t="shared" si="43"/>
        <v>-6464</v>
      </c>
      <c r="I308" s="240">
        <f t="shared" si="50"/>
        <v>-31868</v>
      </c>
      <c r="J308" s="240"/>
      <c r="K308" s="117"/>
      <c r="L308" s="243">
        <f t="shared" si="44"/>
        <v>-6464</v>
      </c>
      <c r="M308" s="243">
        <f t="shared" si="45"/>
        <v>-6464</v>
      </c>
      <c r="N308" s="243">
        <f t="shared" si="46"/>
        <v>-6464</v>
      </c>
      <c r="O308" s="243">
        <f t="shared" si="47"/>
        <v>-6464</v>
      </c>
      <c r="P308" s="244">
        <f t="shared" si="48"/>
        <v>-6012</v>
      </c>
      <c r="Q308" s="244">
        <f t="shared" si="49"/>
        <v>0</v>
      </c>
    </row>
    <row r="309" spans="1:17" s="191" customFormat="1">
      <c r="A309" s="195">
        <v>2417</v>
      </c>
      <c r="B309" s="223" t="s">
        <v>293</v>
      </c>
      <c r="C309" s="224">
        <f>VLOOKUP(A309,'Contribution Allocation_Report'!$A$9:$D$314,4,FALSE)</f>
        <v>8.2278114615886945E-5</v>
      </c>
      <c r="D309" s="11"/>
      <c r="E309" s="241">
        <f>VLOOKUP(A309,'Contribution Allocation_Rep 23'!$A$9:$D$312,4,FALSE)</f>
        <v>8.3933946899739388E-5</v>
      </c>
      <c r="F309" s="123"/>
      <c r="G309" s="242">
        <f t="shared" si="42"/>
        <v>-5340</v>
      </c>
      <c r="H309" s="240">
        <f t="shared" si="43"/>
        <v>-901</v>
      </c>
      <c r="I309" s="240">
        <f t="shared" si="50"/>
        <v>-4439</v>
      </c>
      <c r="J309" s="240"/>
      <c r="K309" s="117"/>
      <c r="L309" s="243">
        <f t="shared" si="44"/>
        <v>-901</v>
      </c>
      <c r="M309" s="243">
        <f t="shared" si="45"/>
        <v>-901</v>
      </c>
      <c r="N309" s="243">
        <f t="shared" si="46"/>
        <v>-901</v>
      </c>
      <c r="O309" s="243">
        <f t="shared" si="47"/>
        <v>-901</v>
      </c>
      <c r="P309" s="244">
        <f t="shared" si="48"/>
        <v>-835</v>
      </c>
      <c r="Q309" s="244">
        <f>+I309-SUM(L309:P309)</f>
        <v>0</v>
      </c>
    </row>
    <row r="310" spans="1:17" s="191" customFormat="1">
      <c r="A310" s="193">
        <v>13142</v>
      </c>
      <c r="B310" s="194" t="s">
        <v>294</v>
      </c>
      <c r="C310" s="200">
        <f>VLOOKUP(A310,'Contribution Allocation_Report'!$A$9:$D$314,4,FALSE)</f>
        <v>2.5788955764469959E-3</v>
      </c>
      <c r="D310" s="11"/>
      <c r="E310" s="241">
        <f>VLOOKUP(A310,'Contribution Allocation_Rep 23'!$A$9:$D$312,4,FALSE)</f>
        <v>2.5937457894977295E-3</v>
      </c>
      <c r="F310" s="123"/>
      <c r="G310" s="134">
        <f t="shared" si="42"/>
        <v>-47888</v>
      </c>
      <c r="H310" s="240">
        <f t="shared" si="43"/>
        <v>-8076</v>
      </c>
      <c r="I310" s="242">
        <f t="shared" si="50"/>
        <v>-39812</v>
      </c>
      <c r="J310" s="120"/>
      <c r="K310" s="117"/>
      <c r="L310" s="243">
        <f t="shared" si="44"/>
        <v>-8076</v>
      </c>
      <c r="M310" s="243">
        <f t="shared" si="45"/>
        <v>-8076</v>
      </c>
      <c r="N310" s="243">
        <f t="shared" si="46"/>
        <v>-8076</v>
      </c>
      <c r="O310" s="243">
        <f t="shared" si="47"/>
        <v>-8076</v>
      </c>
      <c r="P310" s="244">
        <f t="shared" si="48"/>
        <v>-7508</v>
      </c>
      <c r="Q310" s="141">
        <f>+I310-SUM(L310:P310)</f>
        <v>0</v>
      </c>
    </row>
    <row r="311" spans="1:17" s="132" customFormat="1">
      <c r="A311" s="277">
        <v>17425</v>
      </c>
      <c r="B311" s="278" t="s">
        <v>507</v>
      </c>
      <c r="C311" s="201">
        <v>0</v>
      </c>
      <c r="D311" s="11"/>
      <c r="E311" s="241">
        <f>VLOOKUP(A311,'Contribution Allocation_Rep 23'!$A$9:$D$312,4,FALSE)</f>
        <v>1.1845389968126315E-4</v>
      </c>
      <c r="F311" s="123"/>
      <c r="G311" s="328">
        <f>ROUND((E311-C311)*$G$318,0)-2</f>
        <v>-381988</v>
      </c>
      <c r="H311" s="240">
        <f>ROUND(G311/5.93,0)+5</f>
        <v>-64411</v>
      </c>
      <c r="I311" s="328">
        <f t="shared" ref="I311" si="52">G311-H311</f>
        <v>-317577</v>
      </c>
      <c r="J311" s="120"/>
      <c r="K311" s="117"/>
      <c r="L311" s="243">
        <f t="shared" si="44"/>
        <v>-64411</v>
      </c>
      <c r="M311" s="243">
        <f t="shared" si="45"/>
        <v>-64411</v>
      </c>
      <c r="N311" s="243">
        <f t="shared" si="46"/>
        <v>-64411</v>
      </c>
      <c r="O311" s="243">
        <f t="shared" si="47"/>
        <v>-64411</v>
      </c>
      <c r="P311" s="244">
        <f t="shared" si="48"/>
        <v>-59933</v>
      </c>
      <c r="Q311" s="141">
        <f t="shared" ref="Q311" si="53">+I311-SUM(L311:P311)</f>
        <v>0</v>
      </c>
    </row>
    <row r="312" spans="1:17">
      <c r="A312" s="22"/>
      <c r="B312" s="23"/>
      <c r="C312" s="24"/>
      <c r="D312" s="11"/>
      <c r="E312" s="121"/>
      <c r="F312" s="121"/>
      <c r="G312" s="122"/>
      <c r="H312" s="120"/>
      <c r="I312" s="120"/>
      <c r="J312" s="120"/>
      <c r="K312" s="117"/>
    </row>
    <row r="313" spans="1:17" ht="13.5" thickBot="1">
      <c r="A313" s="22"/>
      <c r="B313" s="25"/>
      <c r="C313" s="131">
        <f>SUM(C5:C312)</f>
        <v>1.0000000000000004</v>
      </c>
      <c r="D313" s="158"/>
      <c r="E313" s="136">
        <f>SUM(E5:E312)</f>
        <v>0.99999999999999989</v>
      </c>
      <c r="F313" s="128"/>
      <c r="G313" s="159">
        <f>SUM(G5:G312)</f>
        <v>0</v>
      </c>
      <c r="H313" s="159">
        <f>SUM(H5:H311)</f>
        <v>0</v>
      </c>
      <c r="I313" s="159">
        <f>SUM(I5:I311)</f>
        <v>0</v>
      </c>
      <c r="L313" s="135">
        <f>SUM(L5:L312)</f>
        <v>0</v>
      </c>
      <c r="M313" s="135">
        <f>SUM(M5:M312)</f>
        <v>0</v>
      </c>
      <c r="N313" s="135">
        <f>SUM(N5:N312)</f>
        <v>0</v>
      </c>
      <c r="O313" s="135">
        <f>SUM(O5:O312)</f>
        <v>0</v>
      </c>
      <c r="P313" s="135">
        <f>SUM(P5:P312)</f>
        <v>0</v>
      </c>
    </row>
    <row r="314" spans="1:17" ht="13.5" thickTop="1">
      <c r="A314" s="22"/>
      <c r="B314" s="25"/>
      <c r="C314" s="125"/>
      <c r="D314" s="11"/>
      <c r="E314" s="124"/>
      <c r="F314" s="124"/>
    </row>
    <row r="315" spans="1:17">
      <c r="A315" s="22"/>
      <c r="B315" s="25"/>
      <c r="C315" s="125"/>
      <c r="D315" s="11"/>
      <c r="E315" s="127" t="s">
        <v>371</v>
      </c>
      <c r="F315" s="127"/>
      <c r="G315" s="126">
        <v>-1702935655</v>
      </c>
      <c r="H315" s="272" t="s">
        <v>467</v>
      </c>
      <c r="K315" s="141"/>
    </row>
    <row r="316" spans="1:17" s="191" customFormat="1">
      <c r="A316" s="204"/>
      <c r="B316" s="207"/>
      <c r="C316" s="125"/>
      <c r="D316" s="11"/>
      <c r="E316" s="127" t="s">
        <v>449</v>
      </c>
      <c r="F316" s="127"/>
      <c r="G316" s="126">
        <f>574191934-181268351</f>
        <v>392923583</v>
      </c>
      <c r="H316" s="272" t="s">
        <v>467</v>
      </c>
      <c r="I316" s="351"/>
      <c r="J316" s="350"/>
      <c r="K316" s="244"/>
      <c r="L316" s="352"/>
    </row>
    <row r="317" spans="1:17">
      <c r="A317" s="22"/>
      <c r="B317" s="25"/>
      <c r="C317" s="125"/>
      <c r="D317" s="11"/>
      <c r="E317" s="127" t="s">
        <v>372</v>
      </c>
      <c r="F317" s="127"/>
      <c r="G317" s="137">
        <f>-2096024421+181268351</f>
        <v>-1914756070</v>
      </c>
      <c r="H317" s="272" t="s">
        <v>467</v>
      </c>
      <c r="I317" s="351"/>
      <c r="J317" s="350"/>
      <c r="K317" s="352"/>
      <c r="L317" s="352"/>
    </row>
    <row r="318" spans="1:17">
      <c r="A318" s="22"/>
      <c r="B318" s="25"/>
      <c r="C318" s="125"/>
      <c r="D318" s="11"/>
      <c r="E318" s="127" t="s">
        <v>363</v>
      </c>
      <c r="F318" s="127"/>
      <c r="G318" s="126">
        <f>SUM(G315:G317)</f>
        <v>-3224768142</v>
      </c>
    </row>
    <row r="319" spans="1:17">
      <c r="A319" s="22"/>
      <c r="B319" s="25"/>
      <c r="C319" s="125"/>
      <c r="D319" s="11"/>
      <c r="E319" s="124"/>
      <c r="F319" s="124"/>
    </row>
    <row r="320" spans="1:17">
      <c r="A320" s="11"/>
      <c r="B320" s="11"/>
      <c r="C320" s="11"/>
      <c r="D320" s="11"/>
    </row>
    <row r="321" spans="3:3">
      <c r="C321" s="12"/>
    </row>
  </sheetData>
  <pageMargins left="0.7" right="0.7" top="0.75" bottom="0.75" header="0.3" footer="0.75"/>
  <pageSetup scale="35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  <customProperties>
    <customPr name="OrphanNamesChecke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DDF6-6364-4A27-9610-D6A447705DFB}">
  <sheetPr>
    <tabColor rgb="FFFFC000"/>
  </sheetPr>
  <dimension ref="A1:H627"/>
  <sheetViews>
    <sheetView view="pageBreakPreview" topLeftCell="A8" zoomScale="85" zoomScaleNormal="100" zoomScaleSheetLayoutView="85" workbookViewId="0">
      <selection activeCell="D567" sqref="D567"/>
    </sheetView>
  </sheetViews>
  <sheetFormatPr defaultColWidth="9.42578125" defaultRowHeight="12.75"/>
  <cols>
    <col min="1" max="1" width="12.42578125" style="191" customWidth="1"/>
    <col min="2" max="2" width="67.5703125" style="191" customWidth="1"/>
    <col min="3" max="3" width="17.5703125" style="191" customWidth="1"/>
    <col min="4" max="4" width="15.5703125" style="191" customWidth="1"/>
    <col min="5" max="5" width="69.5703125" style="191" bestFit="1" customWidth="1"/>
    <col min="6" max="6" width="22.5703125" style="191" bestFit="1" customWidth="1"/>
    <col min="7" max="7" width="25.42578125" style="191" bestFit="1" customWidth="1"/>
    <col min="8" max="8" width="21.5703125" style="191" bestFit="1" customWidth="1"/>
    <col min="9" max="16384" width="9.42578125" style="191"/>
  </cols>
  <sheetData>
    <row r="1" spans="1:8" ht="18" customHeight="1">
      <c r="A1" s="429" t="s">
        <v>381</v>
      </c>
      <c r="B1" s="429"/>
      <c r="C1" s="429"/>
      <c r="D1" s="429"/>
    </row>
    <row r="2" spans="1:8" ht="15.75" customHeight="1">
      <c r="A2" s="430" t="s">
        <v>382</v>
      </c>
      <c r="B2" s="430"/>
      <c r="C2" s="430"/>
      <c r="D2" s="430"/>
    </row>
    <row r="3" spans="1:8" ht="15.75" customHeight="1">
      <c r="A3" s="430" t="s">
        <v>470</v>
      </c>
      <c r="B3" s="430"/>
      <c r="C3" s="430"/>
      <c r="D3" s="430"/>
    </row>
    <row r="4" spans="1:8" ht="10.35" customHeight="1"/>
    <row r="5" spans="1:8" ht="3.75" hidden="1" customHeight="1"/>
    <row r="6" spans="1:8" ht="44.25" customHeight="1">
      <c r="A6" s="225" t="s">
        <v>0</v>
      </c>
      <c r="B6" s="226" t="s">
        <v>1</v>
      </c>
      <c r="C6" s="225" t="s">
        <v>469</v>
      </c>
      <c r="D6" s="225" t="s">
        <v>2</v>
      </c>
    </row>
    <row r="7" spans="1:8">
      <c r="A7" s="202"/>
      <c r="B7" s="203"/>
      <c r="C7" s="202" t="s">
        <v>3</v>
      </c>
      <c r="D7" s="203" t="s">
        <v>4</v>
      </c>
    </row>
    <row r="8" spans="1:8">
      <c r="A8" s="202"/>
      <c r="B8" s="203"/>
      <c r="C8" s="202"/>
      <c r="D8" s="203"/>
    </row>
    <row r="9" spans="1:8">
      <c r="A9" s="298">
        <v>1341</v>
      </c>
      <c r="B9" s="299" t="s">
        <v>5</v>
      </c>
      <c r="C9" s="300">
        <f>+VLOOKUP(A9,$D$319:$F$624,3,FALSE)</f>
        <v>27260165</v>
      </c>
      <c r="D9" s="301">
        <f>+C9/$C$314</f>
        <v>0.23799180794551009</v>
      </c>
      <c r="E9" s="269"/>
      <c r="F9" s="254">
        <f>VLOOKUP(A9,'OPEB Amounts_Report'!$A$10:$A$324,1,FALSE)</f>
        <v>1341</v>
      </c>
      <c r="G9" s="116"/>
      <c r="H9" s="117"/>
    </row>
    <row r="10" spans="1:8">
      <c r="A10" s="193">
        <v>2308</v>
      </c>
      <c r="B10" s="194" t="s">
        <v>6</v>
      </c>
      <c r="C10" s="198">
        <f t="shared" ref="C10:C73" si="0">+VLOOKUP(A10,$D$319:$F$624,3,FALSE)</f>
        <v>51840</v>
      </c>
      <c r="D10" s="200">
        <f t="shared" ref="D10:D73" si="1">+C10/$C$314</f>
        <v>4.5258329595199598E-4</v>
      </c>
      <c r="E10" s="269"/>
      <c r="F10" s="254">
        <f>VLOOKUP(A10,'OPEB Amounts_Report'!$A$10:$A$324,1,FALSE)</f>
        <v>2308</v>
      </c>
      <c r="G10" s="116"/>
      <c r="H10" s="117"/>
    </row>
    <row r="11" spans="1:8">
      <c r="A11" s="195">
        <v>2340</v>
      </c>
      <c r="B11" s="196" t="s">
        <v>7</v>
      </c>
      <c r="C11" s="199">
        <f t="shared" si="0"/>
        <v>49110</v>
      </c>
      <c r="D11" s="201">
        <f t="shared" si="1"/>
        <v>4.2874933765822768E-4</v>
      </c>
      <c r="E11" s="269"/>
      <c r="F11" s="254">
        <f>VLOOKUP(A11,'OPEB Amounts_Report'!$A$10:$A$324,1,FALSE)</f>
        <v>2340</v>
      </c>
      <c r="G11" s="116"/>
      <c r="H11" s="117"/>
    </row>
    <row r="12" spans="1:8">
      <c r="A12" s="193">
        <v>1301</v>
      </c>
      <c r="B12" s="194" t="s">
        <v>8</v>
      </c>
      <c r="C12" s="198">
        <f t="shared" si="0"/>
        <v>58595</v>
      </c>
      <c r="D12" s="200">
        <f t="shared" si="1"/>
        <v>5.1155706455067909E-4</v>
      </c>
      <c r="E12" s="269"/>
      <c r="F12" s="254">
        <f>VLOOKUP(A12,'OPEB Amounts_Report'!$A$10:$A$324,1,FALSE)</f>
        <v>1301</v>
      </c>
      <c r="G12" s="116"/>
      <c r="H12" s="117"/>
    </row>
    <row r="13" spans="1:8">
      <c r="A13" s="195">
        <v>2390</v>
      </c>
      <c r="B13" s="196" t="s">
        <v>9</v>
      </c>
      <c r="C13" s="199">
        <f t="shared" si="0"/>
        <v>46078</v>
      </c>
      <c r="D13" s="201">
        <f t="shared" si="1"/>
        <v>4.0227880229313411E-4</v>
      </c>
      <c r="E13" s="269"/>
      <c r="F13" s="254">
        <f>VLOOKUP(A13,'OPEB Amounts_Report'!$A$10:$A$324,1,FALSE)</f>
        <v>2390</v>
      </c>
      <c r="G13" s="116"/>
      <c r="H13" s="117"/>
    </row>
    <row r="14" spans="1:8">
      <c r="A14" s="193">
        <v>2441</v>
      </c>
      <c r="B14" s="194" t="s">
        <v>419</v>
      </c>
      <c r="C14" s="198">
        <f t="shared" si="0"/>
        <v>25557</v>
      </c>
      <c r="D14" s="200">
        <f t="shared" si="1"/>
        <v>2.2312251725781562E-4</v>
      </c>
      <c r="E14" s="269"/>
      <c r="F14" s="254">
        <f>VLOOKUP(A14,'OPEB Amounts_Report'!$A$10:$A$324,1,FALSE)</f>
        <v>2441</v>
      </c>
      <c r="G14" s="116"/>
      <c r="H14" s="117"/>
    </row>
    <row r="15" spans="1:8">
      <c r="A15" s="195">
        <v>15046</v>
      </c>
      <c r="B15" s="196" t="s">
        <v>10</v>
      </c>
      <c r="C15" s="199">
        <f t="shared" si="0"/>
        <v>818340</v>
      </c>
      <c r="D15" s="201">
        <f t="shared" si="1"/>
        <v>7.1444254322792517E-3</v>
      </c>
      <c r="E15" s="269"/>
      <c r="F15" s="254">
        <f>VLOOKUP(A15,'OPEB Amounts_Report'!$A$10:$A$324,1,FALSE)</f>
        <v>15046</v>
      </c>
      <c r="G15" s="116"/>
      <c r="H15" s="117"/>
    </row>
    <row r="16" spans="1:8">
      <c r="A16" s="193">
        <v>4380</v>
      </c>
      <c r="B16" s="194" t="s">
        <v>11</v>
      </c>
      <c r="C16" s="198">
        <f t="shared" si="0"/>
        <v>821008</v>
      </c>
      <c r="D16" s="200">
        <f t="shared" si="1"/>
        <v>7.1677181065385098E-3</v>
      </c>
      <c r="E16" s="269"/>
      <c r="F16" s="254">
        <f>VLOOKUP(A16,'OPEB Amounts_Report'!$A$10:$A$324,1,FALSE)</f>
        <v>4380</v>
      </c>
      <c r="G16" s="116"/>
      <c r="H16" s="117"/>
    </row>
    <row r="17" spans="1:8">
      <c r="A17" s="195">
        <v>2343</v>
      </c>
      <c r="B17" s="196" t="s">
        <v>420</v>
      </c>
      <c r="C17" s="199">
        <f t="shared" si="0"/>
        <v>63267</v>
      </c>
      <c r="D17" s="201">
        <f t="shared" si="1"/>
        <v>5.5234543566734051E-4</v>
      </c>
      <c r="E17" s="269"/>
      <c r="F17" s="254">
        <f>VLOOKUP(A17,'OPEB Amounts_Report'!$A$10:$A$324,1,FALSE)</f>
        <v>2343</v>
      </c>
      <c r="G17" s="116"/>
      <c r="H17" s="117"/>
    </row>
    <row r="18" spans="1:8">
      <c r="A18" s="193">
        <v>2435</v>
      </c>
      <c r="B18" s="194" t="s">
        <v>396</v>
      </c>
      <c r="C18" s="198">
        <f t="shared" si="0"/>
        <v>26727</v>
      </c>
      <c r="D18" s="200">
        <f t="shared" si="1"/>
        <v>2.3333707081228775E-4</v>
      </c>
      <c r="E18" s="269"/>
      <c r="F18" s="254">
        <f>VLOOKUP(A18,'OPEB Amounts_Report'!$A$10:$A$324,1,FALSE)</f>
        <v>2435</v>
      </c>
      <c r="G18" s="116"/>
      <c r="H18" s="117"/>
    </row>
    <row r="19" spans="1:8">
      <c r="A19" s="195">
        <v>4560</v>
      </c>
      <c r="B19" s="196" t="s">
        <v>12</v>
      </c>
      <c r="C19" s="199">
        <f t="shared" si="0"/>
        <v>65689</v>
      </c>
      <c r="D19" s="201">
        <f t="shared" si="1"/>
        <v>5.7349043456386315E-4</v>
      </c>
      <c r="E19" s="269"/>
      <c r="F19" s="254">
        <f>VLOOKUP(A19,'OPEB Amounts_Report'!$A$10:$A$324,1,FALSE)</f>
        <v>4560</v>
      </c>
      <c r="G19" s="116"/>
      <c r="H19" s="117"/>
    </row>
    <row r="20" spans="1:8">
      <c r="A20" s="193">
        <v>2341</v>
      </c>
      <c r="B20" s="194" t="s">
        <v>417</v>
      </c>
      <c r="C20" s="198">
        <f t="shared" si="0"/>
        <v>40659</v>
      </c>
      <c r="D20" s="200">
        <f t="shared" si="1"/>
        <v>3.5496883159938668E-4</v>
      </c>
      <c r="E20" s="269"/>
      <c r="F20" s="254">
        <f>VLOOKUP(A20,'OPEB Amounts_Report'!$A$10:$A$324,1,FALSE)</f>
        <v>2341</v>
      </c>
      <c r="G20" s="116"/>
      <c r="H20" s="117"/>
    </row>
    <row r="21" spans="1:8">
      <c r="A21" s="195">
        <v>4580</v>
      </c>
      <c r="B21" s="196" t="s">
        <v>397</v>
      </c>
      <c r="C21" s="199">
        <f t="shared" si="0"/>
        <v>39190</v>
      </c>
      <c r="D21" s="201">
        <f t="shared" si="1"/>
        <v>3.4214389213654947E-4</v>
      </c>
      <c r="E21" s="269"/>
      <c r="F21" s="254">
        <f>VLOOKUP(A21,'OPEB Amounts_Report'!$A$10:$A$324,1,FALSE)</f>
        <v>4580</v>
      </c>
      <c r="G21" s="116"/>
      <c r="H21" s="117"/>
    </row>
    <row r="22" spans="1:8">
      <c r="A22" s="193">
        <v>2003</v>
      </c>
      <c r="B22" s="194" t="s">
        <v>13</v>
      </c>
      <c r="C22" s="198">
        <f t="shared" si="0"/>
        <v>12839003</v>
      </c>
      <c r="D22" s="200">
        <f t="shared" si="1"/>
        <v>0.11208947327310116</v>
      </c>
      <c r="E22" s="269"/>
      <c r="F22" s="254">
        <f>VLOOKUP(A22,'OPEB Amounts_Report'!$A$10:$A$324,1,FALSE)</f>
        <v>2003</v>
      </c>
      <c r="G22" s="116"/>
      <c r="H22" s="117"/>
    </row>
    <row r="23" spans="1:8">
      <c r="A23" s="195">
        <v>2412</v>
      </c>
      <c r="B23" s="196" t="s">
        <v>14</v>
      </c>
      <c r="C23" s="199">
        <f t="shared" si="0"/>
        <v>116942</v>
      </c>
      <c r="D23" s="201">
        <f t="shared" si="1"/>
        <v>1.0209489929633162E-3</v>
      </c>
      <c r="E23" s="269"/>
      <c r="F23" s="254">
        <f>VLOOKUP(A23,'OPEB Amounts_Report'!$A$10:$A$324,1,FALSE)</f>
        <v>2412</v>
      </c>
      <c r="G23" s="116"/>
      <c r="H23" s="117"/>
    </row>
    <row r="24" spans="1:8">
      <c r="A24" s="193">
        <v>2402</v>
      </c>
      <c r="B24" s="194" t="s">
        <v>15</v>
      </c>
      <c r="C24" s="198">
        <f t="shared" si="0"/>
        <v>50176</v>
      </c>
      <c r="D24" s="200">
        <f t="shared" si="1"/>
        <v>4.3805593089674675E-4</v>
      </c>
      <c r="E24" s="269"/>
      <c r="F24" s="254">
        <f>VLOOKUP(A24,'OPEB Amounts_Report'!$A$10:$A$324,1,FALSE)</f>
        <v>2402</v>
      </c>
      <c r="G24" s="116"/>
      <c r="H24" s="117"/>
    </row>
    <row r="25" spans="1:8">
      <c r="A25" s="195">
        <v>2361</v>
      </c>
      <c r="B25" s="196" t="s">
        <v>16</v>
      </c>
      <c r="C25" s="199">
        <f t="shared" si="0"/>
        <v>21259</v>
      </c>
      <c r="D25" s="201">
        <f t="shared" si="1"/>
        <v>1.8559931112352397E-4</v>
      </c>
      <c r="E25" s="269"/>
      <c r="F25" s="254">
        <f>VLOOKUP(A25,'OPEB Amounts_Report'!$A$10:$A$324,1,FALSE)</f>
        <v>2361</v>
      </c>
      <c r="G25" s="116"/>
      <c r="H25" s="117"/>
    </row>
    <row r="26" spans="1:8">
      <c r="A26" s="193">
        <v>8347</v>
      </c>
      <c r="B26" s="194" t="s">
        <v>17</v>
      </c>
      <c r="C26" s="198">
        <f t="shared" si="0"/>
        <v>35115</v>
      </c>
      <c r="D26" s="200">
        <f t="shared" si="1"/>
        <v>3.0656756244896489E-4</v>
      </c>
      <c r="E26" s="269"/>
      <c r="F26" s="254">
        <f>VLOOKUP(A26,'OPEB Amounts_Report'!$A$10:$A$324,1,FALSE)</f>
        <v>8347</v>
      </c>
      <c r="G26" s="116"/>
      <c r="H26" s="117"/>
    </row>
    <row r="27" spans="1:8">
      <c r="A27" s="195">
        <v>2356</v>
      </c>
      <c r="B27" s="196" t="s">
        <v>18</v>
      </c>
      <c r="C27" s="199">
        <f t="shared" si="0"/>
        <v>68423</v>
      </c>
      <c r="D27" s="201">
        <f t="shared" si="1"/>
        <v>5.9735931440824499E-4</v>
      </c>
      <c r="E27" s="269"/>
      <c r="F27" s="254">
        <f>VLOOKUP(A27,'OPEB Amounts_Report'!$A$10:$A$324,1,FALSE)</f>
        <v>2356</v>
      </c>
      <c r="G27" s="116"/>
      <c r="H27" s="117"/>
    </row>
    <row r="28" spans="1:8">
      <c r="A28" s="193">
        <v>7335</v>
      </c>
      <c r="B28" s="194" t="s">
        <v>19</v>
      </c>
      <c r="C28" s="198">
        <f t="shared" si="0"/>
        <v>23701</v>
      </c>
      <c r="D28" s="200">
        <f t="shared" si="1"/>
        <v>2.0691891777311453E-4</v>
      </c>
      <c r="E28" s="269"/>
      <c r="F28" s="254">
        <f>VLOOKUP(A28,'OPEB Amounts_Report'!$A$10:$A$324,1,FALSE)</f>
        <v>7335</v>
      </c>
      <c r="G28" s="116"/>
      <c r="H28" s="117"/>
    </row>
    <row r="29" spans="1:8">
      <c r="A29" s="195">
        <v>575</v>
      </c>
      <c r="B29" s="196" t="s">
        <v>398</v>
      </c>
      <c r="C29" s="199">
        <f t="shared" si="0"/>
        <v>25466</v>
      </c>
      <c r="D29" s="201">
        <f t="shared" si="1"/>
        <v>2.2232805198135668E-4</v>
      </c>
      <c r="E29" s="269"/>
      <c r="F29" s="254">
        <f>VLOOKUP(A29,'OPEB Amounts_Report'!$A$10:$A$324,1,FALSE)</f>
        <v>575</v>
      </c>
      <c r="G29" s="116"/>
      <c r="H29" s="117"/>
    </row>
    <row r="30" spans="1:8">
      <c r="A30" s="193">
        <v>2303</v>
      </c>
      <c r="B30" s="194" t="s">
        <v>20</v>
      </c>
      <c r="C30" s="198">
        <f t="shared" si="0"/>
        <v>49126</v>
      </c>
      <c r="D30" s="200">
        <f t="shared" si="1"/>
        <v>4.2888902386068199E-4</v>
      </c>
      <c r="E30" s="269"/>
      <c r="F30" s="254">
        <f>VLOOKUP(A30,'OPEB Amounts_Report'!$A$10:$A$324,1,FALSE)</f>
        <v>2303</v>
      </c>
      <c r="G30" s="116"/>
      <c r="H30" s="117"/>
    </row>
    <row r="31" spans="1:8">
      <c r="A31" s="195">
        <v>20316</v>
      </c>
      <c r="B31" s="196" t="s">
        <v>21</v>
      </c>
      <c r="C31" s="199">
        <f t="shared" si="0"/>
        <v>31250</v>
      </c>
      <c r="D31" s="201">
        <f t="shared" si="1"/>
        <v>2.7282461416859328E-4</v>
      </c>
      <c r="E31" s="269"/>
      <c r="F31" s="254">
        <f>VLOOKUP(A31,'OPEB Amounts_Report'!$A$10:$A$324,1,FALSE)</f>
        <v>20316</v>
      </c>
      <c r="G31" s="116"/>
      <c r="H31" s="117"/>
    </row>
    <row r="32" spans="1:8">
      <c r="A32" s="193">
        <v>23121</v>
      </c>
      <c r="B32" s="194" t="s">
        <v>22</v>
      </c>
      <c r="C32" s="198">
        <f t="shared" si="0"/>
        <v>35445</v>
      </c>
      <c r="D32" s="200">
        <f t="shared" si="1"/>
        <v>3.0944859037458525E-4</v>
      </c>
      <c r="E32" s="269"/>
      <c r="F32" s="254">
        <f>VLOOKUP(A32,'OPEB Amounts_Report'!$A$10:$A$324,1,FALSE)</f>
        <v>23121</v>
      </c>
      <c r="G32" s="116"/>
      <c r="H32" s="117"/>
    </row>
    <row r="33" spans="1:8">
      <c r="A33" s="195">
        <v>3004</v>
      </c>
      <c r="B33" s="196" t="s">
        <v>23</v>
      </c>
      <c r="C33" s="199">
        <f t="shared" si="0"/>
        <v>564905</v>
      </c>
      <c r="D33" s="201">
        <f t="shared" si="1"/>
        <v>4.9318396373410935E-3</v>
      </c>
      <c r="E33" s="269"/>
      <c r="F33" s="254">
        <f>VLOOKUP(A33,'OPEB Amounts_Report'!$A$10:$A$324,1,FALSE)</f>
        <v>3004</v>
      </c>
      <c r="G33" s="116"/>
      <c r="H33" s="117"/>
    </row>
    <row r="34" spans="1:8">
      <c r="A34" s="193">
        <v>16050</v>
      </c>
      <c r="B34" s="194" t="s">
        <v>24</v>
      </c>
      <c r="C34" s="198">
        <f t="shared" si="0"/>
        <v>380249</v>
      </c>
      <c r="D34" s="200">
        <f t="shared" si="1"/>
        <v>3.3197211748157893E-3</v>
      </c>
      <c r="E34" s="269"/>
      <c r="F34" s="254">
        <f>VLOOKUP(A34,'OPEB Amounts_Report'!$A$10:$A$324,1,FALSE)</f>
        <v>16050</v>
      </c>
      <c r="G34" s="116"/>
      <c r="H34" s="117"/>
    </row>
    <row r="35" spans="1:8">
      <c r="A35" s="195">
        <v>14043</v>
      </c>
      <c r="B35" s="196" t="s">
        <v>25</v>
      </c>
      <c r="C35" s="199">
        <f t="shared" si="0"/>
        <v>567993</v>
      </c>
      <c r="D35" s="201">
        <f t="shared" si="1"/>
        <v>4.9587990744147771E-3</v>
      </c>
      <c r="E35" s="269"/>
      <c r="F35" s="254">
        <f>VLOOKUP(A35,'OPEB Amounts_Report'!$A$10:$A$324,1,FALSE)</f>
        <v>14043</v>
      </c>
      <c r="G35" s="116"/>
      <c r="H35" s="117"/>
    </row>
    <row r="36" spans="1:8">
      <c r="A36" s="193">
        <v>3010</v>
      </c>
      <c r="B36" s="194" t="s">
        <v>26</v>
      </c>
      <c r="C36" s="198">
        <f t="shared" si="0"/>
        <v>3150508</v>
      </c>
      <c r="D36" s="200">
        <f t="shared" si="1"/>
        <v>2.7505156145122125E-2</v>
      </c>
      <c r="E36" s="269"/>
      <c r="F36" s="254">
        <f>VLOOKUP(A36,'OPEB Amounts_Report'!$A$10:$A$324,1,FALSE)</f>
        <v>3010</v>
      </c>
      <c r="G36" s="116"/>
      <c r="H36" s="117"/>
    </row>
    <row r="37" spans="1:8">
      <c r="A37" s="195">
        <v>29086</v>
      </c>
      <c r="B37" s="196" t="s">
        <v>27</v>
      </c>
      <c r="C37" s="199">
        <f t="shared" si="0"/>
        <v>627408</v>
      </c>
      <c r="D37" s="201">
        <f t="shared" si="1"/>
        <v>5.4775150568412406E-3</v>
      </c>
      <c r="E37" s="269"/>
      <c r="F37" s="254">
        <f>VLOOKUP(A37,'OPEB Amounts_Report'!$A$10:$A$324,1,FALSE)</f>
        <v>29086</v>
      </c>
      <c r="G37" s="116"/>
      <c r="H37" s="117"/>
    </row>
    <row r="38" spans="1:8">
      <c r="A38" s="193">
        <v>16051</v>
      </c>
      <c r="B38" s="194" t="s">
        <v>28</v>
      </c>
      <c r="C38" s="198">
        <f t="shared" si="0"/>
        <v>440548</v>
      </c>
      <c r="D38" s="200">
        <f t="shared" si="1"/>
        <v>3.8461548199278535E-3</v>
      </c>
      <c r="E38" s="269"/>
      <c r="F38" s="254">
        <f>VLOOKUP(A38,'OPEB Amounts_Report'!$A$10:$A$324,1,FALSE)</f>
        <v>16051</v>
      </c>
      <c r="G38" s="116"/>
      <c r="H38" s="117"/>
    </row>
    <row r="39" spans="1:8">
      <c r="A39" s="195">
        <v>26077</v>
      </c>
      <c r="B39" s="196" t="s">
        <v>29</v>
      </c>
      <c r="C39" s="199">
        <f t="shared" si="0"/>
        <v>84395</v>
      </c>
      <c r="D39" s="201">
        <f t="shared" si="1"/>
        <v>7.3680106600826974E-4</v>
      </c>
      <c r="E39" s="269"/>
      <c r="F39" s="254">
        <f>VLOOKUP(A39,'OPEB Amounts_Report'!$A$10:$A$324,1,FALSE)</f>
        <v>26077</v>
      </c>
      <c r="G39" s="116"/>
      <c r="H39" s="117"/>
    </row>
    <row r="40" spans="1:8">
      <c r="A40" s="193">
        <v>3005</v>
      </c>
      <c r="B40" s="194" t="s">
        <v>30</v>
      </c>
      <c r="C40" s="198">
        <f t="shared" si="0"/>
        <v>1050214</v>
      </c>
      <c r="D40" s="200">
        <f t="shared" si="1"/>
        <v>9.1687753390225606E-3</v>
      </c>
      <c r="E40" s="269"/>
      <c r="F40" s="254">
        <f>VLOOKUP(A40,'OPEB Amounts_Report'!$A$10:$A$324,1,FALSE)</f>
        <v>3005</v>
      </c>
      <c r="G40" s="116"/>
      <c r="H40" s="117"/>
    </row>
    <row r="41" spans="1:8">
      <c r="A41" s="195">
        <v>26078</v>
      </c>
      <c r="B41" s="196" t="s">
        <v>31</v>
      </c>
      <c r="C41" s="199">
        <f t="shared" si="0"/>
        <v>36636</v>
      </c>
      <c r="D41" s="201">
        <f t="shared" si="1"/>
        <v>3.1984648206977867E-4</v>
      </c>
      <c r="E41" s="269"/>
      <c r="F41" s="254">
        <f>VLOOKUP(A41,'OPEB Amounts_Report'!$A$10:$A$324,1,FALSE)</f>
        <v>26078</v>
      </c>
      <c r="G41" s="116"/>
      <c r="H41" s="117"/>
    </row>
    <row r="42" spans="1:8">
      <c r="A42" s="193">
        <v>16053</v>
      </c>
      <c r="B42" s="194" t="s">
        <v>32</v>
      </c>
      <c r="C42" s="198">
        <f t="shared" si="0"/>
        <v>1160819</v>
      </c>
      <c r="D42" s="200">
        <f t="shared" si="1"/>
        <v>1.0134399865426313E-2</v>
      </c>
      <c r="E42" s="269"/>
      <c r="F42" s="254">
        <f>VLOOKUP(A42,'OPEB Amounts_Report'!$A$10:$A$324,1,FALSE)</f>
        <v>16053</v>
      </c>
      <c r="G42" s="116"/>
      <c r="H42" s="117"/>
    </row>
    <row r="43" spans="1:8">
      <c r="A43" s="195">
        <v>2123</v>
      </c>
      <c r="B43" s="196" t="s">
        <v>33</v>
      </c>
      <c r="C43" s="199">
        <f t="shared" si="0"/>
        <v>1686329</v>
      </c>
      <c r="D43" s="201">
        <f t="shared" si="1"/>
        <v>1.4722305881161911E-2</v>
      </c>
      <c r="E43" s="269"/>
      <c r="F43" s="254">
        <f>VLOOKUP(A43,'OPEB Amounts_Report'!$A$10:$A$324,1,FALSE)</f>
        <v>2123</v>
      </c>
      <c r="G43" s="116"/>
      <c r="H43" s="117"/>
    </row>
    <row r="44" spans="1:8">
      <c r="A44" s="193">
        <v>2150</v>
      </c>
      <c r="B44" s="194" t="s">
        <v>34</v>
      </c>
      <c r="C44" s="198">
        <f t="shared" si="0"/>
        <v>117530</v>
      </c>
      <c r="D44" s="200">
        <f t="shared" si="1"/>
        <v>1.0260824609035126E-3</v>
      </c>
      <c r="E44" s="269"/>
      <c r="F44" s="254">
        <f>VLOOKUP(A44,'OPEB Amounts_Report'!$A$10:$A$324,1,FALSE)</f>
        <v>2150</v>
      </c>
      <c r="G44" s="116"/>
      <c r="H44" s="117"/>
    </row>
    <row r="45" spans="1:8">
      <c r="A45" s="195">
        <v>2336</v>
      </c>
      <c r="B45" s="196" t="s">
        <v>35</v>
      </c>
      <c r="C45" s="199">
        <f t="shared" si="0"/>
        <v>28844</v>
      </c>
      <c r="D45" s="201">
        <f t="shared" si="1"/>
        <v>2.5181930147452495E-4</v>
      </c>
      <c r="E45" s="269"/>
      <c r="F45" s="254">
        <f>VLOOKUP(A45,'OPEB Amounts_Report'!$A$10:$A$324,1,FALSE)</f>
        <v>2336</v>
      </c>
      <c r="G45" s="116"/>
      <c r="H45" s="117"/>
    </row>
    <row r="46" spans="1:8">
      <c r="A46" s="193">
        <v>17126</v>
      </c>
      <c r="B46" s="194" t="s">
        <v>36</v>
      </c>
      <c r="C46" s="198">
        <f t="shared" si="0"/>
        <v>83779</v>
      </c>
      <c r="D46" s="200">
        <f t="shared" si="1"/>
        <v>7.3142314721377842E-4</v>
      </c>
      <c r="E46" s="269"/>
      <c r="F46" s="254">
        <f>VLOOKUP(A46,'OPEB Amounts_Report'!$A$10:$A$324,1,FALSE)</f>
        <v>17126</v>
      </c>
      <c r="G46" s="116"/>
      <c r="H46" s="117"/>
    </row>
    <row r="47" spans="1:8">
      <c r="A47" s="195">
        <v>3030</v>
      </c>
      <c r="B47" s="196" t="s">
        <v>37</v>
      </c>
      <c r="C47" s="199">
        <f t="shared" si="0"/>
        <v>204801</v>
      </c>
      <c r="D47" s="201">
        <f t="shared" si="1"/>
        <v>1.7879921218029462E-3</v>
      </c>
      <c r="E47" s="269"/>
      <c r="F47" s="254">
        <f>VLOOKUP(A47,'OPEB Amounts_Report'!$A$10:$A$324,1,FALSE)</f>
        <v>3030</v>
      </c>
      <c r="G47" s="116"/>
      <c r="H47" s="117"/>
    </row>
    <row r="48" spans="1:8">
      <c r="A48" s="193">
        <v>2353</v>
      </c>
      <c r="B48" s="194" t="s">
        <v>38</v>
      </c>
      <c r="C48" s="198">
        <f t="shared" si="0"/>
        <v>75559</v>
      </c>
      <c r="D48" s="200">
        <f t="shared" si="1"/>
        <v>6.5965936070287159E-4</v>
      </c>
      <c r="E48" s="269"/>
      <c r="F48" s="254">
        <f>VLOOKUP(A48,'OPEB Amounts_Report'!$A$10:$A$324,1,FALSE)</f>
        <v>2353</v>
      </c>
      <c r="G48" s="116"/>
      <c r="H48" s="117"/>
    </row>
    <row r="49" spans="1:8">
      <c r="A49" s="195">
        <v>3040</v>
      </c>
      <c r="B49" s="196" t="s">
        <v>39</v>
      </c>
      <c r="C49" s="199">
        <f t="shared" si="0"/>
        <v>84888</v>
      </c>
      <c r="D49" s="201">
        <f t="shared" si="1"/>
        <v>7.4110514712139345E-4</v>
      </c>
      <c r="E49" s="269"/>
      <c r="F49" s="254">
        <f>VLOOKUP(A49,'OPEB Amounts_Report'!$A$10:$A$324,1,FALSE)</f>
        <v>3040</v>
      </c>
      <c r="G49" s="116"/>
      <c r="H49" s="117"/>
    </row>
    <row r="50" spans="1:8">
      <c r="A50" s="193">
        <v>2367</v>
      </c>
      <c r="B50" s="194" t="s">
        <v>40</v>
      </c>
      <c r="C50" s="198">
        <f t="shared" si="0"/>
        <v>69275</v>
      </c>
      <c r="D50" s="200">
        <f t="shared" si="1"/>
        <v>6.047976046889375E-4</v>
      </c>
      <c r="E50" s="269"/>
      <c r="F50" s="254">
        <f>VLOOKUP(A50,'OPEB Amounts_Report'!$A$10:$A$324,1,FALSE)</f>
        <v>2367</v>
      </c>
      <c r="G50" s="116"/>
      <c r="H50" s="117"/>
    </row>
    <row r="51" spans="1:8">
      <c r="A51" s="195">
        <v>9027</v>
      </c>
      <c r="B51" s="196" t="s">
        <v>41</v>
      </c>
      <c r="C51" s="199">
        <f t="shared" si="0"/>
        <v>86356</v>
      </c>
      <c r="D51" s="201">
        <f t="shared" si="1"/>
        <v>7.5392135619657729E-4</v>
      </c>
      <c r="E51" s="269"/>
      <c r="F51" s="254">
        <f>VLOOKUP(A51,'OPEB Amounts_Report'!$A$10:$A$324,1,FALSE)</f>
        <v>9027</v>
      </c>
      <c r="G51" s="116"/>
      <c r="H51" s="117"/>
    </row>
    <row r="52" spans="1:8">
      <c r="A52" s="193">
        <v>2010</v>
      </c>
      <c r="B52" s="194" t="s">
        <v>42</v>
      </c>
      <c r="C52" s="198">
        <f t="shared" si="0"/>
        <v>319162</v>
      </c>
      <c r="D52" s="200">
        <f t="shared" si="1"/>
        <v>2.78640798423285E-3</v>
      </c>
      <c r="E52" s="269"/>
      <c r="F52" s="254">
        <f>VLOOKUP(A52,'OPEB Amounts_Report'!$A$10:$A$324,1,FALSE)</f>
        <v>2010</v>
      </c>
      <c r="G52" s="116"/>
      <c r="H52" s="117"/>
    </row>
    <row r="53" spans="1:8">
      <c r="A53" s="195">
        <v>2020</v>
      </c>
      <c r="B53" s="196" t="s">
        <v>43</v>
      </c>
      <c r="C53" s="199">
        <f t="shared" si="0"/>
        <v>7545593</v>
      </c>
      <c r="D53" s="201">
        <f t="shared" si="1"/>
        <v>6.587595196474362E-2</v>
      </c>
      <c r="E53" s="269"/>
      <c r="F53" s="254">
        <f>VLOOKUP(A53,'OPEB Amounts_Report'!$A$10:$A$324,1,FALSE)</f>
        <v>2020</v>
      </c>
      <c r="G53" s="116"/>
      <c r="H53" s="117"/>
    </row>
    <row r="54" spans="1:8">
      <c r="A54" s="193">
        <v>2040</v>
      </c>
      <c r="B54" s="194" t="s">
        <v>44</v>
      </c>
      <c r="C54" s="198">
        <f t="shared" si="0"/>
        <v>108071</v>
      </c>
      <c r="D54" s="200">
        <f t="shared" si="1"/>
        <v>9.4350172409004933E-4</v>
      </c>
      <c r="E54" s="269"/>
      <c r="F54" s="254">
        <f>VLOOKUP(A54,'OPEB Amounts_Report'!$A$10:$A$324,1,FALSE)</f>
        <v>2040</v>
      </c>
      <c r="G54" s="116"/>
      <c r="H54" s="117"/>
    </row>
    <row r="55" spans="1:8">
      <c r="A55" s="195">
        <v>2060</v>
      </c>
      <c r="B55" s="196" t="s">
        <v>45</v>
      </c>
      <c r="C55" s="199">
        <f t="shared" si="0"/>
        <v>113875</v>
      </c>
      <c r="D55" s="201">
        <f t="shared" si="1"/>
        <v>9.9417289403035385E-4</v>
      </c>
      <c r="E55" s="269"/>
      <c r="F55" s="254">
        <f>VLOOKUP(A55,'OPEB Amounts_Report'!$A$10:$A$324,1,FALSE)</f>
        <v>2060</v>
      </c>
      <c r="G55" s="116"/>
      <c r="H55" s="117"/>
    </row>
    <row r="56" spans="1:8">
      <c r="A56" s="193">
        <v>2090</v>
      </c>
      <c r="B56" s="194" t="s">
        <v>46</v>
      </c>
      <c r="C56" s="198">
        <f t="shared" si="0"/>
        <v>87914</v>
      </c>
      <c r="D56" s="200">
        <f t="shared" si="1"/>
        <v>7.6752330016056664E-4</v>
      </c>
      <c r="E56" s="269"/>
      <c r="F56" s="254">
        <f>VLOOKUP(A56,'OPEB Amounts_Report'!$A$10:$A$324,1,FALSE)</f>
        <v>2090</v>
      </c>
      <c r="G56" s="116"/>
      <c r="H56" s="117"/>
    </row>
    <row r="57" spans="1:8">
      <c r="A57" s="195">
        <v>2110</v>
      </c>
      <c r="B57" s="223" t="s">
        <v>47</v>
      </c>
      <c r="C57" s="265">
        <f t="shared" si="0"/>
        <v>622132</v>
      </c>
      <c r="D57" s="224">
        <f t="shared" si="1"/>
        <v>5.4314535315819288E-3</v>
      </c>
      <c r="E57" s="269"/>
      <c r="F57" s="254">
        <f>VLOOKUP(A57,'OPEB Amounts_Report'!$A$10:$A$324,1,FALSE)</f>
        <v>2110</v>
      </c>
      <c r="G57" s="116"/>
      <c r="H57" s="117"/>
    </row>
    <row r="58" spans="1:8">
      <c r="A58" s="193">
        <v>2180</v>
      </c>
      <c r="B58" s="194" t="s">
        <v>48</v>
      </c>
      <c r="C58" s="198">
        <f t="shared" si="0"/>
        <v>310542</v>
      </c>
      <c r="D58" s="200">
        <f t="shared" si="1"/>
        <v>2.7111520426605852E-3</v>
      </c>
      <c r="E58" s="269"/>
      <c r="F58" s="254">
        <f>VLOOKUP(A58,'OPEB Amounts_Report'!$A$10:$A$324,1,FALSE)</f>
        <v>2180</v>
      </c>
      <c r="G58" s="116"/>
      <c r="H58" s="117"/>
    </row>
    <row r="59" spans="1:8">
      <c r="A59" s="195">
        <v>2210</v>
      </c>
      <c r="B59" s="196" t="s">
        <v>49</v>
      </c>
      <c r="C59" s="199">
        <f t="shared" si="0"/>
        <v>128418</v>
      </c>
      <c r="D59" s="201">
        <f t="shared" si="1"/>
        <v>1.1211389216736771E-3</v>
      </c>
      <c r="E59" s="269"/>
      <c r="F59" s="254">
        <f>VLOOKUP(A59,'OPEB Amounts_Report'!$A$10:$A$324,1,FALSE)</f>
        <v>2210</v>
      </c>
      <c r="G59" s="116"/>
      <c r="H59" s="117"/>
    </row>
    <row r="60" spans="1:8">
      <c r="A60" s="193">
        <v>2290</v>
      </c>
      <c r="B60" s="194" t="s">
        <v>50</v>
      </c>
      <c r="C60" s="198">
        <f t="shared" si="0"/>
        <v>148216</v>
      </c>
      <c r="D60" s="200">
        <f t="shared" si="1"/>
        <v>1.293983136435591E-3</v>
      </c>
      <c r="E60" s="269"/>
      <c r="F60" s="254">
        <f>VLOOKUP(A60,'OPEB Amounts_Report'!$A$10:$A$324,1,FALSE)</f>
        <v>2290</v>
      </c>
      <c r="G60" s="116"/>
      <c r="H60" s="117"/>
    </row>
    <row r="61" spans="1:8">
      <c r="A61" s="195">
        <v>2310</v>
      </c>
      <c r="B61" s="196" t="s">
        <v>51</v>
      </c>
      <c r="C61" s="199">
        <f t="shared" si="0"/>
        <v>996902</v>
      </c>
      <c r="D61" s="201">
        <f t="shared" si="1"/>
        <v>8.7033409124447677E-3</v>
      </c>
      <c r="E61" s="269"/>
      <c r="F61" s="254">
        <f>VLOOKUP(A61,'OPEB Amounts_Report'!$A$10:$A$324,1,FALSE)</f>
        <v>2310</v>
      </c>
      <c r="G61" s="116"/>
      <c r="H61" s="117"/>
    </row>
    <row r="62" spans="1:8">
      <c r="A62" s="193">
        <v>2330</v>
      </c>
      <c r="B62" s="194" t="s">
        <v>52</v>
      </c>
      <c r="C62" s="198">
        <f t="shared" si="0"/>
        <v>317128</v>
      </c>
      <c r="D62" s="200">
        <f t="shared" si="1"/>
        <v>2.7686503757458447E-3</v>
      </c>
      <c r="E62" s="269"/>
      <c r="F62" s="254">
        <f>VLOOKUP(A62,'OPEB Amounts_Report'!$A$10:$A$324,1,FALSE)</f>
        <v>2330</v>
      </c>
      <c r="G62" s="116"/>
      <c r="H62" s="117"/>
    </row>
    <row r="63" spans="1:8">
      <c r="A63" s="195">
        <v>2380</v>
      </c>
      <c r="B63" s="196" t="s">
        <v>53</v>
      </c>
      <c r="C63" s="199">
        <f t="shared" si="0"/>
        <v>59968</v>
      </c>
      <c r="D63" s="201">
        <f t="shared" si="1"/>
        <v>5.2354388679879045E-4</v>
      </c>
      <c r="E63" s="269"/>
      <c r="F63" s="254">
        <f>VLOOKUP(A63,'OPEB Amounts_Report'!$A$10:$A$324,1,FALSE)</f>
        <v>2380</v>
      </c>
      <c r="G63" s="116"/>
      <c r="H63" s="117"/>
    </row>
    <row r="64" spans="1:8">
      <c r="A64" s="193">
        <v>2400</v>
      </c>
      <c r="B64" s="194" t="s">
        <v>54</v>
      </c>
      <c r="C64" s="198">
        <f t="shared" si="0"/>
        <v>1731988</v>
      </c>
      <c r="D64" s="200">
        <f t="shared" si="1"/>
        <v>1.5120926651028273E-2</v>
      </c>
      <c r="E64" s="269"/>
      <c r="F64" s="254">
        <f>VLOOKUP(A64,'OPEB Amounts_Report'!$A$10:$A$324,1,FALSE)</f>
        <v>2400</v>
      </c>
      <c r="G64" s="116"/>
      <c r="H64" s="117"/>
    </row>
    <row r="65" spans="1:8">
      <c r="A65" s="195">
        <v>2410</v>
      </c>
      <c r="B65" s="196" t="s">
        <v>55</v>
      </c>
      <c r="C65" s="199">
        <f t="shared" si="0"/>
        <v>197933</v>
      </c>
      <c r="D65" s="201">
        <f t="shared" si="1"/>
        <v>1.7280318193994295E-3</v>
      </c>
      <c r="E65" s="269"/>
      <c r="F65" s="254">
        <f>VLOOKUP(A65,'OPEB Amounts_Report'!$A$10:$A$324,1,FALSE)</f>
        <v>2410</v>
      </c>
      <c r="G65" s="116"/>
      <c r="H65" s="117"/>
    </row>
    <row r="66" spans="1:8">
      <c r="A66" s="193">
        <v>2500</v>
      </c>
      <c r="B66" s="194" t="s">
        <v>56</v>
      </c>
      <c r="C66" s="198">
        <f t="shared" si="0"/>
        <v>38979</v>
      </c>
      <c r="D66" s="200">
        <f t="shared" si="1"/>
        <v>3.4030178034168308E-4</v>
      </c>
      <c r="E66" s="269"/>
      <c r="F66" s="254">
        <f>VLOOKUP(A66,'OPEB Amounts_Report'!$A$10:$A$324,1,FALSE)</f>
        <v>2500</v>
      </c>
      <c r="G66" s="116"/>
      <c r="H66" s="117"/>
    </row>
    <row r="67" spans="1:8">
      <c r="A67" s="195">
        <v>2550</v>
      </c>
      <c r="B67" s="196" t="s">
        <v>57</v>
      </c>
      <c r="C67" s="199">
        <f t="shared" si="0"/>
        <v>130287</v>
      </c>
      <c r="D67" s="201">
        <f t="shared" si="1"/>
        <v>1.1374560161978723E-3</v>
      </c>
      <c r="E67" s="269"/>
      <c r="F67" s="254">
        <f>VLOOKUP(A67,'OPEB Amounts_Report'!$A$10:$A$324,1,FALSE)</f>
        <v>2550</v>
      </c>
      <c r="G67" s="116"/>
      <c r="H67" s="117"/>
    </row>
    <row r="68" spans="1:8">
      <c r="A68" s="193">
        <v>2570</v>
      </c>
      <c r="B68" s="194" t="s">
        <v>58</v>
      </c>
      <c r="C68" s="198">
        <f t="shared" si="0"/>
        <v>77407</v>
      </c>
      <c r="D68" s="200">
        <f t="shared" si="1"/>
        <v>6.7579311708634556E-4</v>
      </c>
      <c r="E68" s="269"/>
      <c r="F68" s="254">
        <f>VLOOKUP(A68,'OPEB Amounts_Report'!$A$10:$A$324,1,FALSE)</f>
        <v>2570</v>
      </c>
      <c r="G68" s="116"/>
      <c r="H68" s="117"/>
    </row>
    <row r="69" spans="1:8">
      <c r="A69" s="195">
        <v>2620</v>
      </c>
      <c r="B69" s="196" t="s">
        <v>59</v>
      </c>
      <c r="C69" s="199">
        <f t="shared" si="0"/>
        <v>745692</v>
      </c>
      <c r="D69" s="201">
        <f t="shared" si="1"/>
        <v>6.5101802300354126E-3</v>
      </c>
      <c r="E69" s="269"/>
      <c r="F69" s="254">
        <f>VLOOKUP(A69,'OPEB Amounts_Report'!$A$10:$A$324,1,FALSE)</f>
        <v>2620</v>
      </c>
      <c r="G69" s="116"/>
      <c r="H69" s="117"/>
    </row>
    <row r="70" spans="1:8">
      <c r="A70" s="193">
        <v>2630</v>
      </c>
      <c r="B70" s="194" t="s">
        <v>60</v>
      </c>
      <c r="C70" s="198">
        <f t="shared" si="0"/>
        <v>651877</v>
      </c>
      <c r="D70" s="200">
        <f t="shared" si="1"/>
        <v>5.6911389123321622E-3</v>
      </c>
      <c r="E70" s="269"/>
      <c r="F70" s="254">
        <f>VLOOKUP(A70,'OPEB Amounts_Report'!$A$10:$A$324,1,FALSE)</f>
        <v>2630</v>
      </c>
      <c r="G70" s="116"/>
      <c r="H70" s="117"/>
    </row>
    <row r="71" spans="1:8">
      <c r="A71" s="195">
        <v>2690</v>
      </c>
      <c r="B71" s="196" t="s">
        <v>61</v>
      </c>
      <c r="C71" s="199">
        <f t="shared" si="0"/>
        <v>1600274</v>
      </c>
      <c r="D71" s="201">
        <f t="shared" si="1"/>
        <v>1.3971012371649005E-2</v>
      </c>
      <c r="E71" s="269"/>
      <c r="F71" s="254">
        <f>VLOOKUP(A71,'OPEB Amounts_Report'!$A$10:$A$324,1,FALSE)</f>
        <v>2690</v>
      </c>
      <c r="G71" s="116"/>
      <c r="H71" s="117"/>
    </row>
    <row r="72" spans="1:8">
      <c r="A72" s="193">
        <v>2710</v>
      </c>
      <c r="B72" s="194" t="s">
        <v>62</v>
      </c>
      <c r="C72" s="198">
        <f t="shared" si="0"/>
        <v>18510</v>
      </c>
      <c r="D72" s="200">
        <f t="shared" si="1"/>
        <v>1.6159947546434117E-4</v>
      </c>
      <c r="E72" s="269"/>
      <c r="F72" s="254">
        <f>VLOOKUP(A72,'OPEB Amounts_Report'!$A$10:$A$324,1,FALSE)</f>
        <v>2710</v>
      </c>
      <c r="G72" s="116"/>
      <c r="H72" s="117"/>
    </row>
    <row r="73" spans="1:8">
      <c r="A73" s="195">
        <v>2730</v>
      </c>
      <c r="B73" s="196" t="s">
        <v>63</v>
      </c>
      <c r="C73" s="266">
        <f t="shared" si="0"/>
        <v>116120</v>
      </c>
      <c r="D73" s="201">
        <f t="shared" si="1"/>
        <v>1.0137726143122257E-3</v>
      </c>
      <c r="E73" s="269"/>
      <c r="F73" s="254">
        <f>VLOOKUP(A73,'OPEB Amounts_Report'!$A$10:$A$324,1,FALSE)</f>
        <v>2730</v>
      </c>
      <c r="G73" s="116"/>
      <c r="H73" s="117"/>
    </row>
    <row r="74" spans="1:8">
      <c r="A74" s="193">
        <v>2950</v>
      </c>
      <c r="B74" s="194" t="s">
        <v>64</v>
      </c>
      <c r="C74" s="198">
        <f t="shared" ref="C74:C137" si="2">+VLOOKUP(A74,$D$319:$F$624,3,FALSE)</f>
        <v>82110</v>
      </c>
      <c r="D74" s="200">
        <f t="shared" ref="D74:D137" si="3">+C74/$C$314</f>
        <v>7.1685213022026223E-4</v>
      </c>
      <c r="E74" s="269"/>
      <c r="F74" s="254">
        <f>VLOOKUP(A74,'OPEB Amounts_Report'!$A$10:$A$324,1,FALSE)</f>
        <v>2950</v>
      </c>
      <c r="G74" s="116"/>
      <c r="H74" s="117"/>
    </row>
    <row r="75" spans="1:8">
      <c r="A75" s="195">
        <v>2760</v>
      </c>
      <c r="B75" s="196" t="s">
        <v>65</v>
      </c>
      <c r="C75" s="199">
        <f t="shared" si="2"/>
        <v>82832</v>
      </c>
      <c r="D75" s="201">
        <f t="shared" si="3"/>
        <v>7.2315547010601332E-4</v>
      </c>
      <c r="E75" s="269"/>
      <c r="F75" s="254">
        <f>VLOOKUP(A75,'OPEB Amounts_Report'!$A$10:$A$324,1,FALSE)</f>
        <v>2760</v>
      </c>
      <c r="G75" s="116"/>
      <c r="H75" s="117"/>
    </row>
    <row r="76" spans="1:8">
      <c r="A76" s="193">
        <v>2780</v>
      </c>
      <c r="B76" s="194" t="s">
        <v>66</v>
      </c>
      <c r="C76" s="198">
        <f t="shared" si="2"/>
        <v>6504</v>
      </c>
      <c r="D76" s="200">
        <f t="shared" si="3"/>
        <v>5.678244129768098E-5</v>
      </c>
      <c r="E76" s="269"/>
      <c r="F76" s="254">
        <f>VLOOKUP(A76,'OPEB Amounts_Report'!$A$10:$A$324,1,FALSE)</f>
        <v>2780</v>
      </c>
      <c r="G76" s="116"/>
      <c r="H76" s="117"/>
    </row>
    <row r="77" spans="1:8">
      <c r="A77" s="195">
        <v>2810</v>
      </c>
      <c r="B77" s="196" t="s">
        <v>67</v>
      </c>
      <c r="C77" s="199">
        <f t="shared" si="2"/>
        <v>62995</v>
      </c>
      <c r="D77" s="201">
        <f t="shared" si="3"/>
        <v>5.49970770225617E-4</v>
      </c>
      <c r="E77" s="269"/>
      <c r="F77" s="254">
        <f>VLOOKUP(A77,'OPEB Amounts_Report'!$A$10:$A$324,1,FALSE)</f>
        <v>2810</v>
      </c>
      <c r="G77" s="116"/>
      <c r="H77" s="117"/>
    </row>
    <row r="78" spans="1:8">
      <c r="A78" s="193">
        <v>18056</v>
      </c>
      <c r="B78" s="194" t="s">
        <v>68</v>
      </c>
      <c r="C78" s="198">
        <f t="shared" si="2"/>
        <v>80990</v>
      </c>
      <c r="D78" s="200">
        <f t="shared" si="3"/>
        <v>7.0707409604845979E-4</v>
      </c>
      <c r="E78" s="269"/>
      <c r="F78" s="254">
        <f>VLOOKUP(A78,'OPEB Amounts_Report'!$A$10:$A$324,1,FALSE)</f>
        <v>18056</v>
      </c>
      <c r="G78" s="116"/>
      <c r="H78" s="117"/>
    </row>
    <row r="79" spans="1:8">
      <c r="A79" s="195">
        <v>15047</v>
      </c>
      <c r="B79" s="196" t="s">
        <v>69</v>
      </c>
      <c r="C79" s="199">
        <f t="shared" si="2"/>
        <v>79591</v>
      </c>
      <c r="D79" s="201">
        <f t="shared" si="3"/>
        <v>6.9486028372136026E-4</v>
      </c>
      <c r="E79" s="269"/>
      <c r="F79" s="254">
        <f>VLOOKUP(A79,'OPEB Amounts_Report'!$A$10:$A$324,1,FALSE)</f>
        <v>15047</v>
      </c>
      <c r="G79" s="116"/>
      <c r="H79" s="117"/>
    </row>
    <row r="80" spans="1:8">
      <c r="A80" s="193">
        <v>5012</v>
      </c>
      <c r="B80" s="194" t="s">
        <v>70</v>
      </c>
      <c r="C80" s="198">
        <f t="shared" si="2"/>
        <v>1160434</v>
      </c>
      <c r="D80" s="200">
        <f t="shared" si="3"/>
        <v>1.0131038666179756E-2</v>
      </c>
      <c r="E80" s="269"/>
      <c r="F80" s="254">
        <f>VLOOKUP(A80,'OPEB Amounts_Report'!$A$10:$A$324,1,FALSE)</f>
        <v>5012</v>
      </c>
      <c r="G80" s="116"/>
      <c r="H80" s="117"/>
    </row>
    <row r="81" spans="1:8">
      <c r="A81" s="195">
        <v>8024</v>
      </c>
      <c r="B81" s="196" t="s">
        <v>71</v>
      </c>
      <c r="C81" s="199">
        <f t="shared" si="2"/>
        <v>240642</v>
      </c>
      <c r="D81" s="201">
        <f t="shared" si="3"/>
        <v>2.100897945688276E-3</v>
      </c>
      <c r="E81" s="269"/>
      <c r="F81" s="254">
        <f>VLOOKUP(A81,'OPEB Amounts_Report'!$A$10:$A$324,1,FALSE)</f>
        <v>8024</v>
      </c>
      <c r="G81" s="116"/>
      <c r="H81" s="117"/>
    </row>
    <row r="82" spans="1:8">
      <c r="A82" s="193">
        <v>3050</v>
      </c>
      <c r="B82" s="194" t="s">
        <v>72</v>
      </c>
      <c r="C82" s="198">
        <f t="shared" si="2"/>
        <v>85724</v>
      </c>
      <c r="D82" s="200">
        <f t="shared" si="3"/>
        <v>7.484037511996316E-4</v>
      </c>
      <c r="E82" s="269"/>
      <c r="F82" s="254">
        <f>VLOOKUP(A82,'OPEB Amounts_Report'!$A$10:$A$324,1,FALSE)</f>
        <v>3050</v>
      </c>
      <c r="G82" s="116"/>
      <c r="H82" s="117"/>
    </row>
    <row r="83" spans="1:8">
      <c r="A83" s="195">
        <v>2421</v>
      </c>
      <c r="B83" s="196" t="s">
        <v>73</v>
      </c>
      <c r="C83" s="199">
        <f t="shared" si="2"/>
        <v>32495</v>
      </c>
      <c r="D83" s="201">
        <f t="shared" si="3"/>
        <v>2.8369394679707001E-4</v>
      </c>
      <c r="E83" s="269"/>
      <c r="F83" s="254">
        <f>VLOOKUP(A83,'OPEB Amounts_Report'!$A$10:$A$324,1,FALSE)</f>
        <v>2421</v>
      </c>
      <c r="G83" s="116"/>
      <c r="H83" s="117"/>
    </row>
    <row r="84" spans="1:8">
      <c r="A84" s="193">
        <v>26079</v>
      </c>
      <c r="B84" s="194" t="s">
        <v>74</v>
      </c>
      <c r="C84" s="198">
        <f t="shared" si="2"/>
        <v>26259</v>
      </c>
      <c r="D84" s="200">
        <f t="shared" si="3"/>
        <v>2.292512493904989E-4</v>
      </c>
      <c r="E84" s="269"/>
      <c r="F84" s="254">
        <f>VLOOKUP(A84,'OPEB Amounts_Report'!$A$10:$A$324,1,FALSE)</f>
        <v>26079</v>
      </c>
      <c r="G84" s="116"/>
      <c r="H84" s="117"/>
    </row>
    <row r="85" spans="1:8">
      <c r="A85" s="195">
        <v>2363</v>
      </c>
      <c r="B85" s="196" t="s">
        <v>75</v>
      </c>
      <c r="C85" s="199">
        <f t="shared" si="2"/>
        <v>34256</v>
      </c>
      <c r="D85" s="201">
        <f t="shared" si="3"/>
        <v>2.9906815945469857E-4</v>
      </c>
      <c r="E85" s="269"/>
      <c r="F85" s="254">
        <f>VLOOKUP(A85,'OPEB Amounts_Report'!$A$10:$A$324,1,FALSE)</f>
        <v>2363</v>
      </c>
      <c r="G85" s="116"/>
      <c r="H85" s="117"/>
    </row>
    <row r="86" spans="1:8">
      <c r="A86" s="193">
        <v>2364</v>
      </c>
      <c r="B86" s="194" t="s">
        <v>76</v>
      </c>
      <c r="C86" s="198">
        <f t="shared" si="2"/>
        <v>107211</v>
      </c>
      <c r="D86" s="200">
        <f t="shared" si="3"/>
        <v>9.3599359070812964E-4</v>
      </c>
      <c r="E86" s="269"/>
      <c r="F86" s="254">
        <f>VLOOKUP(A86,'OPEB Amounts_Report'!$A$10:$A$324,1,FALSE)</f>
        <v>2364</v>
      </c>
      <c r="G86" s="116"/>
      <c r="H86" s="117"/>
    </row>
    <row r="87" spans="1:8">
      <c r="A87" s="195">
        <v>25319</v>
      </c>
      <c r="B87" s="196" t="s">
        <v>77</v>
      </c>
      <c r="C87" s="199">
        <f t="shared" si="2"/>
        <v>22672</v>
      </c>
      <c r="D87" s="201">
        <f t="shared" si="3"/>
        <v>1.979353488777711E-4</v>
      </c>
      <c r="E87" s="269"/>
      <c r="F87" s="254">
        <f>VLOOKUP(A87,'OPEB Amounts_Report'!$A$10:$A$324,1,FALSE)</f>
        <v>25319</v>
      </c>
      <c r="G87" s="116"/>
      <c r="H87" s="117"/>
    </row>
    <row r="88" spans="1:8">
      <c r="A88" s="193">
        <v>29087</v>
      </c>
      <c r="B88" s="194" t="s">
        <v>78</v>
      </c>
      <c r="C88" s="198">
        <f t="shared" si="2"/>
        <v>204880</v>
      </c>
      <c r="D88" s="200">
        <f t="shared" si="3"/>
        <v>1.7886818224275645E-3</v>
      </c>
      <c r="E88" s="269"/>
      <c r="F88" s="254">
        <f>VLOOKUP(A88,'OPEB Amounts_Report'!$A$10:$A$324,1,FALSE)</f>
        <v>29087</v>
      </c>
      <c r="G88" s="116"/>
      <c r="H88" s="117"/>
    </row>
    <row r="89" spans="1:8">
      <c r="A89" s="195">
        <v>3060</v>
      </c>
      <c r="B89" s="196" t="s">
        <v>79</v>
      </c>
      <c r="C89" s="199">
        <f t="shared" si="2"/>
        <v>129088</v>
      </c>
      <c r="D89" s="201">
        <f t="shared" si="3"/>
        <v>1.1269882814014518E-3</v>
      </c>
      <c r="E89" s="269"/>
      <c r="F89" s="254">
        <f>VLOOKUP(A89,'OPEB Amounts_Report'!$A$10:$A$324,1,FALSE)</f>
        <v>3060</v>
      </c>
      <c r="G89" s="116"/>
      <c r="H89" s="117"/>
    </row>
    <row r="90" spans="1:8">
      <c r="A90" s="193">
        <v>19301</v>
      </c>
      <c r="B90" s="194" t="s">
        <v>80</v>
      </c>
      <c r="C90" s="198">
        <f t="shared" si="2"/>
        <v>24404</v>
      </c>
      <c r="D90" s="200">
        <f t="shared" si="3"/>
        <v>2.130563802934512E-4</v>
      </c>
      <c r="E90" s="269"/>
      <c r="F90" s="254">
        <f>VLOOKUP(A90,'OPEB Amounts_Report'!$A$10:$A$324,1,FALSE)</f>
        <v>19301</v>
      </c>
      <c r="G90" s="116"/>
      <c r="H90" s="117"/>
    </row>
    <row r="91" spans="1:8">
      <c r="A91" s="195">
        <v>19059</v>
      </c>
      <c r="B91" s="196" t="s">
        <v>81</v>
      </c>
      <c r="C91" s="199">
        <f t="shared" si="2"/>
        <v>846344</v>
      </c>
      <c r="D91" s="201">
        <f t="shared" si="3"/>
        <v>7.388911208124925E-3</v>
      </c>
      <c r="E91" s="269"/>
      <c r="F91" s="254">
        <f>VLOOKUP(A91,'OPEB Amounts_Report'!$A$10:$A$324,1,FALSE)</f>
        <v>19059</v>
      </c>
      <c r="G91" s="116"/>
      <c r="H91" s="117"/>
    </row>
    <row r="92" spans="1:8">
      <c r="A92" s="193">
        <v>18057</v>
      </c>
      <c r="B92" s="194" t="s">
        <v>82</v>
      </c>
      <c r="C92" s="198">
        <f t="shared" si="2"/>
        <v>32116</v>
      </c>
      <c r="D92" s="200">
        <f t="shared" si="3"/>
        <v>2.803851298764333E-4</v>
      </c>
      <c r="E92" s="269"/>
      <c r="F92" s="254">
        <f>VLOOKUP(A92,'OPEB Amounts_Report'!$A$10:$A$324,1,FALSE)</f>
        <v>18057</v>
      </c>
      <c r="G92" s="116"/>
      <c r="H92" s="117"/>
    </row>
    <row r="93" spans="1:8">
      <c r="A93" s="195">
        <v>4008</v>
      </c>
      <c r="B93" s="196" t="s">
        <v>83</v>
      </c>
      <c r="C93" s="199">
        <f t="shared" si="2"/>
        <v>145431</v>
      </c>
      <c r="D93" s="201">
        <f t="shared" si="3"/>
        <v>1.269669006820886E-3</v>
      </c>
      <c r="E93" s="269"/>
      <c r="F93" s="254">
        <f>VLOOKUP(A93,'OPEB Amounts_Report'!$A$10:$A$324,1,FALSE)</f>
        <v>4008</v>
      </c>
      <c r="G93" s="116"/>
      <c r="H93" s="117"/>
    </row>
    <row r="94" spans="1:8">
      <c r="A94" s="193">
        <v>2350</v>
      </c>
      <c r="B94" s="194" t="s">
        <v>84</v>
      </c>
      <c r="C94" s="198">
        <f t="shared" si="2"/>
        <v>48150</v>
      </c>
      <c r="D94" s="200">
        <f t="shared" si="3"/>
        <v>4.2036816551096849E-4</v>
      </c>
      <c r="E94" s="269"/>
      <c r="F94" s="254">
        <f>VLOOKUP(A94,'OPEB Amounts_Report'!$A$10:$A$324,1,FALSE)</f>
        <v>2350</v>
      </c>
      <c r="G94" s="116"/>
      <c r="H94" s="117"/>
    </row>
    <row r="95" spans="1:8">
      <c r="A95" s="195">
        <v>11117</v>
      </c>
      <c r="B95" s="196" t="s">
        <v>85</v>
      </c>
      <c r="C95" s="199">
        <f t="shared" si="2"/>
        <v>45280</v>
      </c>
      <c r="D95" s="201">
        <f t="shared" si="3"/>
        <v>3.953119529457249E-4</v>
      </c>
      <c r="E95" s="269"/>
      <c r="F95" s="254">
        <f>VLOOKUP(A95,'OPEB Amounts_Report'!$A$10:$A$324,1,FALSE)</f>
        <v>11117</v>
      </c>
      <c r="G95" s="116"/>
      <c r="H95" s="117"/>
    </row>
    <row r="96" spans="1:8">
      <c r="A96" s="193">
        <v>16359</v>
      </c>
      <c r="B96" s="194" t="s">
        <v>86</v>
      </c>
      <c r="C96" s="198">
        <f t="shared" si="2"/>
        <v>12500</v>
      </c>
      <c r="D96" s="200">
        <f t="shared" si="3"/>
        <v>1.0912984566743731E-4</v>
      </c>
      <c r="E96" s="269"/>
      <c r="F96" s="254">
        <f>VLOOKUP(A96,'OPEB Amounts_Report'!$A$10:$A$324,1,FALSE)</f>
        <v>16359</v>
      </c>
      <c r="G96" s="116"/>
      <c r="H96" s="117"/>
    </row>
    <row r="97" spans="1:8">
      <c r="A97" s="195">
        <v>17115</v>
      </c>
      <c r="B97" s="196" t="s">
        <v>87</v>
      </c>
      <c r="C97" s="199">
        <f t="shared" si="2"/>
        <v>161500</v>
      </c>
      <c r="D97" s="201">
        <f t="shared" si="3"/>
        <v>1.40995760602329E-3</v>
      </c>
      <c r="E97" s="269"/>
      <c r="F97" s="254">
        <f>VLOOKUP(A97,'OPEB Amounts_Report'!$A$10:$A$324,1,FALSE)</f>
        <v>17115</v>
      </c>
      <c r="G97" s="116"/>
      <c r="H97" s="117"/>
    </row>
    <row r="98" spans="1:8">
      <c r="A98" s="193">
        <v>32117</v>
      </c>
      <c r="B98" s="194" t="s">
        <v>88</v>
      </c>
      <c r="C98" s="198">
        <f t="shared" si="2"/>
        <v>12114</v>
      </c>
      <c r="D98" s="200">
        <f t="shared" si="3"/>
        <v>1.0575991603322684E-4</v>
      </c>
      <c r="E98" s="269"/>
      <c r="F98" s="254">
        <f>VLOOKUP(A98,'OPEB Amounts_Report'!$A$10:$A$324,1,FALSE)</f>
        <v>32117</v>
      </c>
      <c r="G98" s="116"/>
      <c r="H98" s="117"/>
    </row>
    <row r="99" spans="1:8">
      <c r="A99" s="195">
        <v>2304</v>
      </c>
      <c r="B99" s="196" t="s">
        <v>89</v>
      </c>
      <c r="C99" s="199">
        <f t="shared" si="2"/>
        <v>49556</v>
      </c>
      <c r="D99" s="201">
        <f t="shared" si="3"/>
        <v>4.3264309055164184E-4</v>
      </c>
      <c r="E99" s="269"/>
      <c r="F99" s="254">
        <f>VLOOKUP(A99,'OPEB Amounts_Report'!$A$10:$A$324,1,FALSE)</f>
        <v>2304</v>
      </c>
      <c r="G99" s="116"/>
      <c r="H99" s="117"/>
    </row>
    <row r="100" spans="1:8">
      <c r="A100" s="193">
        <v>11101</v>
      </c>
      <c r="B100" s="194" t="s">
        <v>91</v>
      </c>
      <c r="C100" s="198">
        <f t="shared" si="2"/>
        <v>631103</v>
      </c>
      <c r="D100" s="200">
        <f t="shared" si="3"/>
        <v>5.509773839220535E-3</v>
      </c>
      <c r="E100" s="269"/>
      <c r="F100" s="254">
        <f>VLOOKUP(A100,'OPEB Amounts_Report'!$A$10:$A$324,1,FALSE)</f>
        <v>11101</v>
      </c>
      <c r="G100" s="116"/>
      <c r="H100" s="117"/>
    </row>
    <row r="101" spans="1:8">
      <c r="A101" s="195">
        <v>11102</v>
      </c>
      <c r="B101" s="196" t="s">
        <v>90</v>
      </c>
      <c r="C101" s="199">
        <f t="shared" si="2"/>
        <v>238755</v>
      </c>
      <c r="D101" s="201">
        <f t="shared" si="3"/>
        <v>2.0844237041863197E-3</v>
      </c>
      <c r="E101" s="269"/>
      <c r="F101" s="254">
        <f>VLOOKUP(A101,'OPEB Amounts_Report'!$A$10:$A$324,1,FALSE)</f>
        <v>11102</v>
      </c>
      <c r="G101" s="116"/>
      <c r="H101" s="117"/>
    </row>
    <row r="102" spans="1:8">
      <c r="A102" s="193">
        <v>3100</v>
      </c>
      <c r="B102" s="194" t="s">
        <v>92</v>
      </c>
      <c r="C102" s="198">
        <f t="shared" si="2"/>
        <v>457095</v>
      </c>
      <c r="D102" s="200">
        <f t="shared" si="3"/>
        <v>3.9906165444285801E-3</v>
      </c>
      <c r="E102" s="269"/>
      <c r="F102" s="254">
        <f>VLOOKUP(A102,'OPEB Amounts_Report'!$A$10:$A$324,1,FALSE)</f>
        <v>3100</v>
      </c>
      <c r="G102" s="116"/>
      <c r="H102" s="117"/>
    </row>
    <row r="103" spans="1:8">
      <c r="A103" s="195">
        <v>2323</v>
      </c>
      <c r="B103" s="196" t="s">
        <v>93</v>
      </c>
      <c r="C103" s="199">
        <f t="shared" si="2"/>
        <v>53157</v>
      </c>
      <c r="D103" s="201">
        <f t="shared" si="3"/>
        <v>4.6408121649151718E-4</v>
      </c>
      <c r="E103" s="269"/>
      <c r="F103" s="254">
        <f>VLOOKUP(A103,'OPEB Amounts_Report'!$A$10:$A$324,1,FALSE)</f>
        <v>2323</v>
      </c>
      <c r="G103" s="116"/>
      <c r="H103" s="117"/>
    </row>
    <row r="104" spans="1:8">
      <c r="A104" s="193">
        <v>11034</v>
      </c>
      <c r="B104" s="194" t="s">
        <v>94</v>
      </c>
      <c r="C104" s="198">
        <f t="shared" si="2"/>
        <v>37331</v>
      </c>
      <c r="D104" s="200">
        <f t="shared" si="3"/>
        <v>3.2591410148888816E-4</v>
      </c>
      <c r="E104" s="269"/>
      <c r="F104" s="254">
        <f>VLOOKUP(A104,'OPEB Amounts_Report'!$A$10:$A$324,1,FALSE)</f>
        <v>11034</v>
      </c>
      <c r="G104" s="116"/>
      <c r="H104" s="117"/>
    </row>
    <row r="105" spans="1:8">
      <c r="A105" s="195">
        <v>17054</v>
      </c>
      <c r="B105" s="223" t="s">
        <v>95</v>
      </c>
      <c r="C105" s="265">
        <f t="shared" si="2"/>
        <v>504681</v>
      </c>
      <c r="D105" s="224">
        <f t="shared" si="3"/>
        <v>4.4060607713030343E-3</v>
      </c>
      <c r="E105" s="269"/>
      <c r="F105" s="254">
        <f>VLOOKUP(A105,'OPEB Amounts_Report'!$A$10:$A$324,1,FALSE)</f>
        <v>17054</v>
      </c>
      <c r="G105" s="116"/>
      <c r="H105" s="117"/>
    </row>
    <row r="106" spans="1:8">
      <c r="A106" s="193">
        <v>22065</v>
      </c>
      <c r="B106" s="194" t="s">
        <v>96</v>
      </c>
      <c r="C106" s="198">
        <f t="shared" si="2"/>
        <v>115783</v>
      </c>
      <c r="D106" s="200">
        <f t="shared" si="3"/>
        <v>1.0108304736730315E-3</v>
      </c>
      <c r="E106" s="269"/>
      <c r="F106" s="254">
        <f>VLOOKUP(A106,'OPEB Amounts_Report'!$A$10:$A$324,1,FALSE)</f>
        <v>22065</v>
      </c>
      <c r="G106" s="116"/>
      <c r="H106" s="117"/>
    </row>
    <row r="107" spans="1:8">
      <c r="A107" s="195">
        <v>22201</v>
      </c>
      <c r="B107" s="196" t="s">
        <v>97</v>
      </c>
      <c r="C107" s="199">
        <f t="shared" si="2"/>
        <v>65078</v>
      </c>
      <c r="D107" s="201">
        <f t="shared" si="3"/>
        <v>5.6815616770763879E-4</v>
      </c>
      <c r="E107" s="269"/>
      <c r="F107" s="254">
        <f>VLOOKUP(A107,'OPEB Amounts_Report'!$A$10:$A$324,1,FALSE)</f>
        <v>22201</v>
      </c>
      <c r="G107" s="116"/>
      <c r="H107" s="117"/>
    </row>
    <row r="108" spans="1:8">
      <c r="A108" s="193">
        <v>6016</v>
      </c>
      <c r="B108" s="194" t="s">
        <v>98</v>
      </c>
      <c r="C108" s="198">
        <f t="shared" si="2"/>
        <v>122534</v>
      </c>
      <c r="D108" s="200">
        <f t="shared" si="3"/>
        <v>1.0697693207211011E-3</v>
      </c>
      <c r="E108" s="269"/>
      <c r="F108" s="254">
        <f>VLOOKUP(A108,'OPEB Amounts_Report'!$A$10:$A$324,1,FALSE)</f>
        <v>6016</v>
      </c>
      <c r="G108" s="116"/>
      <c r="H108" s="117"/>
    </row>
    <row r="109" spans="1:8">
      <c r="A109" s="195">
        <v>7440</v>
      </c>
      <c r="B109" s="196" t="s">
        <v>447</v>
      </c>
      <c r="C109" s="199">
        <f t="shared" si="2"/>
        <v>27273</v>
      </c>
      <c r="D109" s="201">
        <f t="shared" si="3"/>
        <v>2.3810386247104142E-4</v>
      </c>
      <c r="E109" s="269"/>
      <c r="F109" s="254">
        <f>VLOOKUP(A109,'OPEB Amounts_Report'!$A$10:$A$324,1,FALSE)</f>
        <v>7440</v>
      </c>
      <c r="G109" s="116"/>
      <c r="H109" s="117"/>
    </row>
    <row r="110" spans="1:8">
      <c r="A110" s="193">
        <v>2432</v>
      </c>
      <c r="B110" s="194" t="s">
        <v>99</v>
      </c>
      <c r="C110" s="198">
        <f t="shared" si="2"/>
        <v>193088</v>
      </c>
      <c r="D110" s="200">
        <f t="shared" si="3"/>
        <v>1.6857330912187307E-3</v>
      </c>
      <c r="E110" s="269"/>
      <c r="F110" s="254">
        <f>VLOOKUP(A110,'OPEB Amounts_Report'!$A$10:$A$324,1,FALSE)</f>
        <v>2432</v>
      </c>
      <c r="G110" s="116"/>
      <c r="H110" s="117"/>
    </row>
    <row r="111" spans="1:8">
      <c r="A111" s="195">
        <v>16052</v>
      </c>
      <c r="B111" s="196" t="s">
        <v>100</v>
      </c>
      <c r="C111" s="199">
        <f t="shared" si="2"/>
        <v>1580589</v>
      </c>
      <c r="D111" s="201">
        <f t="shared" si="3"/>
        <v>1.3799154690691925E-2</v>
      </c>
      <c r="E111" s="269"/>
      <c r="F111" s="254">
        <f>VLOOKUP(A111,'OPEB Amounts_Report'!$A$10:$A$324,1,FALSE)</f>
        <v>16052</v>
      </c>
      <c r="G111" s="116"/>
      <c r="H111" s="117"/>
    </row>
    <row r="112" spans="1:8">
      <c r="A112" s="193">
        <v>11118</v>
      </c>
      <c r="B112" s="194" t="s">
        <v>101</v>
      </c>
      <c r="C112" s="198">
        <f t="shared" si="2"/>
        <v>41634</v>
      </c>
      <c r="D112" s="200">
        <f t="shared" si="3"/>
        <v>3.634809595614468E-4</v>
      </c>
      <c r="E112" s="269"/>
      <c r="F112" s="254">
        <f>VLOOKUP(A112,'OPEB Amounts_Report'!$A$10:$A$324,1,FALSE)</f>
        <v>11118</v>
      </c>
      <c r="G112" s="116"/>
      <c r="H112" s="117"/>
    </row>
    <row r="113" spans="1:8">
      <c r="A113" s="195">
        <v>27083</v>
      </c>
      <c r="B113" s="196" t="s">
        <v>102</v>
      </c>
      <c r="C113" s="199">
        <f t="shared" si="2"/>
        <v>61599</v>
      </c>
      <c r="D113" s="201">
        <f t="shared" si="3"/>
        <v>5.3778314906147769E-4</v>
      </c>
      <c r="E113" s="269"/>
      <c r="F113" s="254">
        <f>VLOOKUP(A113,'OPEB Amounts_Report'!$A$10:$A$324,1,FALSE)</f>
        <v>27083</v>
      </c>
      <c r="G113" s="116"/>
      <c r="H113" s="117"/>
    </row>
    <row r="114" spans="1:8">
      <c r="A114" s="193">
        <v>7021</v>
      </c>
      <c r="B114" s="194" t="s">
        <v>103</v>
      </c>
      <c r="C114" s="198">
        <f t="shared" si="2"/>
        <v>2042234</v>
      </c>
      <c r="D114" s="200">
        <f t="shared" si="3"/>
        <v>1.7829494498943454E-2</v>
      </c>
      <c r="E114" s="269"/>
      <c r="F114" s="254">
        <f>VLOOKUP(A114,'OPEB Amounts_Report'!$A$10:$A$324,1,FALSE)</f>
        <v>7021</v>
      </c>
      <c r="G114" s="116"/>
      <c r="H114" s="117"/>
    </row>
    <row r="115" spans="1:8">
      <c r="A115" s="195">
        <v>4140</v>
      </c>
      <c r="B115" s="196" t="s">
        <v>104</v>
      </c>
      <c r="C115" s="199">
        <f t="shared" si="2"/>
        <v>14562</v>
      </c>
      <c r="D115" s="201">
        <f t="shared" si="3"/>
        <v>1.2713190500873776E-4</v>
      </c>
      <c r="E115" s="269"/>
      <c r="F115" s="254">
        <f>VLOOKUP(A115,'OPEB Amounts_Report'!$A$10:$A$324,1,FALSE)</f>
        <v>4140</v>
      </c>
      <c r="G115" s="116"/>
      <c r="H115" s="117"/>
    </row>
    <row r="116" spans="1:8">
      <c r="A116" s="193">
        <v>13041</v>
      </c>
      <c r="B116" s="194" t="s">
        <v>105</v>
      </c>
      <c r="C116" s="198">
        <f t="shared" si="2"/>
        <v>1866333</v>
      </c>
      <c r="D116" s="200">
        <f t="shared" si="3"/>
        <v>1.6293810580323621E-2</v>
      </c>
      <c r="E116" s="269"/>
      <c r="F116" s="254">
        <f>VLOOKUP(A116,'OPEB Amounts_Report'!$A$10:$A$324,1,FALSE)</f>
        <v>13041</v>
      </c>
      <c r="G116" s="116"/>
      <c r="H116" s="117"/>
    </row>
    <row r="117" spans="1:8">
      <c r="A117" s="195">
        <v>2339</v>
      </c>
      <c r="B117" s="196" t="s">
        <v>106</v>
      </c>
      <c r="C117" s="199">
        <f t="shared" si="2"/>
        <v>29317</v>
      </c>
      <c r="D117" s="201">
        <f t="shared" si="3"/>
        <v>2.5594877483458076E-4</v>
      </c>
      <c r="E117" s="269"/>
      <c r="F117" s="254">
        <f>VLOOKUP(A117,'OPEB Amounts_Report'!$A$10:$A$324,1,FALSE)</f>
        <v>2339</v>
      </c>
      <c r="G117" s="116"/>
      <c r="H117" s="117"/>
    </row>
    <row r="118" spans="1:8">
      <c r="A118" s="193">
        <v>2362</v>
      </c>
      <c r="B118" s="194" t="s">
        <v>107</v>
      </c>
      <c r="C118" s="198">
        <f t="shared" si="2"/>
        <v>29175</v>
      </c>
      <c r="D118" s="200">
        <f t="shared" si="3"/>
        <v>2.5470905978779867E-4</v>
      </c>
      <c r="E118" s="269"/>
      <c r="F118" s="254">
        <f>VLOOKUP(A118,'OPEB Amounts_Report'!$A$10:$A$324,1,FALSE)</f>
        <v>2362</v>
      </c>
      <c r="G118" s="116"/>
      <c r="H118" s="117"/>
    </row>
    <row r="119" spans="1:8">
      <c r="A119" s="195">
        <v>5013</v>
      </c>
      <c r="B119" s="196" t="s">
        <v>108</v>
      </c>
      <c r="C119" s="199">
        <f t="shared" si="2"/>
        <v>34444</v>
      </c>
      <c r="D119" s="201">
        <f t="shared" si="3"/>
        <v>3.0070947233353684E-4</v>
      </c>
      <c r="E119" s="269"/>
      <c r="F119" s="254">
        <f>VLOOKUP(A119,'OPEB Amounts_Report'!$A$10:$A$324,1,FALSE)</f>
        <v>5013</v>
      </c>
      <c r="G119" s="116"/>
      <c r="H119" s="117"/>
    </row>
    <row r="120" spans="1:8">
      <c r="A120" s="193">
        <v>3110</v>
      </c>
      <c r="B120" s="194" t="s">
        <v>109</v>
      </c>
      <c r="C120" s="198">
        <f t="shared" si="2"/>
        <v>140152</v>
      </c>
      <c r="D120" s="200">
        <f t="shared" si="3"/>
        <v>1.2235812903986139E-3</v>
      </c>
      <c r="E120" s="269"/>
      <c r="F120" s="254">
        <f>VLOOKUP(A120,'OPEB Amounts_Report'!$A$10:$A$324,1,FALSE)</f>
        <v>3110</v>
      </c>
      <c r="G120" s="116"/>
      <c r="H120" s="117"/>
    </row>
    <row r="121" spans="1:8">
      <c r="A121" s="195">
        <v>14044</v>
      </c>
      <c r="B121" s="196" t="s">
        <v>110</v>
      </c>
      <c r="C121" s="199">
        <f t="shared" si="2"/>
        <v>552421</v>
      </c>
      <c r="D121" s="201">
        <f t="shared" si="3"/>
        <v>4.8228494778761108E-3</v>
      </c>
      <c r="E121" s="269"/>
      <c r="F121" s="254">
        <f>VLOOKUP(A121,'OPEB Amounts_Report'!$A$10:$A$324,1,FALSE)</f>
        <v>14044</v>
      </c>
      <c r="G121" s="116"/>
      <c r="H121" s="117"/>
    </row>
    <row r="122" spans="1:8">
      <c r="A122" s="193">
        <v>4009</v>
      </c>
      <c r="B122" s="194" t="s">
        <v>111</v>
      </c>
      <c r="C122" s="198">
        <f t="shared" si="2"/>
        <v>64683</v>
      </c>
      <c r="D122" s="200">
        <f t="shared" si="3"/>
        <v>5.6470766458454778E-4</v>
      </c>
      <c r="E122" s="269"/>
      <c r="F122" s="254">
        <f>VLOOKUP(A122,'OPEB Amounts_Report'!$A$10:$A$324,1,FALSE)</f>
        <v>4009</v>
      </c>
      <c r="G122" s="116"/>
      <c r="H122" s="117"/>
    </row>
    <row r="123" spans="1:8">
      <c r="A123" s="195">
        <v>7022</v>
      </c>
      <c r="B123" s="196" t="s">
        <v>112</v>
      </c>
      <c r="C123" s="199">
        <f t="shared" si="2"/>
        <v>221862</v>
      </c>
      <c r="D123" s="201">
        <f t="shared" si="3"/>
        <v>1.936941265557518E-3</v>
      </c>
      <c r="E123" s="269"/>
      <c r="F123" s="254">
        <f>VLOOKUP(A123,'OPEB Amounts_Report'!$A$10:$A$324,1,FALSE)</f>
        <v>7022</v>
      </c>
      <c r="G123" s="116"/>
      <c r="H123" s="117"/>
    </row>
    <row r="124" spans="1:8">
      <c r="A124" s="193">
        <v>2430</v>
      </c>
      <c r="B124" s="194" t="s">
        <v>113</v>
      </c>
      <c r="C124" s="198">
        <f t="shared" si="2"/>
        <v>29224</v>
      </c>
      <c r="D124" s="200">
        <f t="shared" si="3"/>
        <v>2.5513684878281502E-4</v>
      </c>
      <c r="E124" s="269"/>
      <c r="F124" s="254">
        <f>VLOOKUP(A124,'OPEB Amounts_Report'!$A$10:$A$324,1,FALSE)</f>
        <v>2430</v>
      </c>
      <c r="G124" s="116"/>
      <c r="H124" s="117"/>
    </row>
    <row r="125" spans="1:8">
      <c r="A125" s="195">
        <v>9150</v>
      </c>
      <c r="B125" s="196" t="s">
        <v>114</v>
      </c>
      <c r="C125" s="199">
        <f t="shared" si="2"/>
        <v>13333</v>
      </c>
      <c r="D125" s="201">
        <f t="shared" si="3"/>
        <v>1.1640225858271533E-4</v>
      </c>
      <c r="E125" s="269"/>
      <c r="F125" s="254">
        <f>VLOOKUP(A125,'OPEB Amounts_Report'!$A$10:$A$324,1,FALSE)</f>
        <v>9150</v>
      </c>
      <c r="G125" s="116"/>
      <c r="H125" s="117"/>
    </row>
    <row r="126" spans="1:8">
      <c r="A126" s="193">
        <v>6017</v>
      </c>
      <c r="B126" s="194" t="s">
        <v>115</v>
      </c>
      <c r="C126" s="198">
        <f t="shared" si="2"/>
        <v>1502498</v>
      </c>
      <c r="D126" s="200">
        <f t="shared" si="3"/>
        <v>1.3117389988450658E-2</v>
      </c>
      <c r="E126" s="269"/>
      <c r="F126" s="254">
        <f>VLOOKUP(A126,'OPEB Amounts_Report'!$A$10:$A$324,1,FALSE)</f>
        <v>6017</v>
      </c>
      <c r="G126" s="116"/>
      <c r="H126" s="117"/>
    </row>
    <row r="127" spans="1:8">
      <c r="A127" s="195">
        <v>26080</v>
      </c>
      <c r="B127" s="196" t="s">
        <v>116</v>
      </c>
      <c r="C127" s="199">
        <f t="shared" si="2"/>
        <v>42832</v>
      </c>
      <c r="D127" s="201">
        <f t="shared" si="3"/>
        <v>3.7393996397021398E-4</v>
      </c>
      <c r="E127" s="269"/>
      <c r="F127" s="254">
        <f>VLOOKUP(A127,'OPEB Amounts_Report'!$A$10:$A$324,1,FALSE)</f>
        <v>26080</v>
      </c>
      <c r="G127" s="116"/>
      <c r="H127" s="117"/>
    </row>
    <row r="128" spans="1:8">
      <c r="A128" s="193">
        <v>2327</v>
      </c>
      <c r="B128" s="194" t="s">
        <v>117</v>
      </c>
      <c r="C128" s="198">
        <f t="shared" si="2"/>
        <v>52179</v>
      </c>
      <c r="D128" s="200">
        <f t="shared" si="3"/>
        <v>4.5554289736649689E-4</v>
      </c>
      <c r="E128" s="269"/>
      <c r="F128" s="254">
        <f>VLOOKUP(A128,'OPEB Amounts_Report'!$A$10:$A$324,1,FALSE)</f>
        <v>2327</v>
      </c>
      <c r="G128" s="116"/>
      <c r="H128" s="117"/>
    </row>
    <row r="129" spans="1:8">
      <c r="A129" s="195">
        <v>10119</v>
      </c>
      <c r="B129" s="196" t="s">
        <v>118</v>
      </c>
      <c r="C129" s="199">
        <f t="shared" si="2"/>
        <v>27470</v>
      </c>
      <c r="D129" s="201">
        <f t="shared" si="3"/>
        <v>2.3982374883876022E-4</v>
      </c>
      <c r="E129" s="269"/>
      <c r="F129" s="254">
        <f>VLOOKUP(A129,'OPEB Amounts_Report'!$A$10:$A$324,1,FALSE)</f>
        <v>10119</v>
      </c>
      <c r="G129" s="116"/>
      <c r="H129" s="117"/>
    </row>
    <row r="130" spans="1:8">
      <c r="A130" s="193">
        <v>573</v>
      </c>
      <c r="B130" s="194" t="s">
        <v>399</v>
      </c>
      <c r="C130" s="198">
        <f t="shared" si="2"/>
        <v>89097</v>
      </c>
      <c r="D130" s="200">
        <f t="shared" si="3"/>
        <v>7.7785134875453293E-4</v>
      </c>
      <c r="E130" s="269"/>
      <c r="F130" s="254">
        <f>VLOOKUP(A130,'OPEB Amounts_Report'!$A$10:$A$324,1,FALSE)</f>
        <v>573</v>
      </c>
      <c r="G130" s="116"/>
      <c r="H130" s="117"/>
    </row>
    <row r="131" spans="1:8">
      <c r="A131" s="195">
        <v>2368</v>
      </c>
      <c r="B131" s="196" t="s">
        <v>119</v>
      </c>
      <c r="C131" s="199">
        <f t="shared" si="2"/>
        <v>54302</v>
      </c>
      <c r="D131" s="201">
        <f t="shared" si="3"/>
        <v>4.7407751035465447E-4</v>
      </c>
      <c r="E131" s="269"/>
      <c r="F131" s="254">
        <f>VLOOKUP(A131,'OPEB Amounts_Report'!$A$10:$A$324,1,FALSE)</f>
        <v>2368</v>
      </c>
      <c r="G131" s="116"/>
      <c r="H131" s="117"/>
    </row>
    <row r="132" spans="1:8">
      <c r="A132" s="193">
        <v>7420</v>
      </c>
      <c r="B132" s="194" t="s">
        <v>120</v>
      </c>
      <c r="C132" s="198">
        <f t="shared" si="2"/>
        <v>30270</v>
      </c>
      <c r="D132" s="200">
        <f t="shared" si="3"/>
        <v>2.6426883426826619E-4</v>
      </c>
      <c r="E132" s="269"/>
      <c r="F132" s="254">
        <f>VLOOKUP(A132,'OPEB Amounts_Report'!$A$10:$A$324,1,FALSE)</f>
        <v>7420</v>
      </c>
      <c r="G132" s="116"/>
      <c r="H132" s="117"/>
    </row>
    <row r="133" spans="1:8">
      <c r="A133" s="195">
        <v>6018</v>
      </c>
      <c r="B133" s="196" t="s">
        <v>121</v>
      </c>
      <c r="C133" s="199">
        <f t="shared" si="2"/>
        <v>98000</v>
      </c>
      <c r="D133" s="201">
        <f t="shared" si="3"/>
        <v>8.5557799003270854E-4</v>
      </c>
      <c r="E133" s="269"/>
      <c r="F133" s="254">
        <f>VLOOKUP(A133,'OPEB Amounts_Report'!$A$10:$A$324,1,FALSE)</f>
        <v>6018</v>
      </c>
      <c r="G133" s="116"/>
      <c r="H133" s="117"/>
    </row>
    <row r="134" spans="1:8">
      <c r="A134" s="193">
        <v>3321</v>
      </c>
      <c r="B134" s="194" t="s">
        <v>122</v>
      </c>
      <c r="C134" s="198">
        <f t="shared" si="2"/>
        <v>38897</v>
      </c>
      <c r="D134" s="200">
        <f t="shared" si="3"/>
        <v>3.3958588855410469E-4</v>
      </c>
      <c r="E134" s="269"/>
      <c r="F134" s="254">
        <f>VLOOKUP(A134,'OPEB Amounts_Report'!$A$10:$A$324,1,FALSE)</f>
        <v>3321</v>
      </c>
      <c r="G134" s="116"/>
      <c r="H134" s="117"/>
    </row>
    <row r="135" spans="1:8">
      <c r="A135" s="195">
        <v>29122</v>
      </c>
      <c r="B135" s="196" t="s">
        <v>123</v>
      </c>
      <c r="C135" s="199">
        <f t="shared" si="2"/>
        <v>54763</v>
      </c>
      <c r="D135" s="201">
        <f t="shared" si="3"/>
        <v>4.7810221906286951E-4</v>
      </c>
      <c r="E135" s="269"/>
      <c r="F135" s="254">
        <f>VLOOKUP(A135,'OPEB Amounts_Report'!$A$10:$A$324,1,FALSE)</f>
        <v>29122</v>
      </c>
      <c r="G135" s="116"/>
      <c r="H135" s="117"/>
    </row>
    <row r="136" spans="1:8">
      <c r="A136" s="195">
        <v>29088</v>
      </c>
      <c r="B136" s="196" t="s">
        <v>124</v>
      </c>
      <c r="C136" s="266">
        <f t="shared" si="2"/>
        <v>67567</v>
      </c>
      <c r="D136" s="201">
        <f t="shared" si="3"/>
        <v>5.8988610257693888E-4</v>
      </c>
      <c r="E136" s="269"/>
      <c r="F136" s="254">
        <f>VLOOKUP(A136,'OPEB Amounts_Report'!$A$10:$A$324,1,FALSE)</f>
        <v>29088</v>
      </c>
      <c r="G136" s="116"/>
      <c r="H136" s="117"/>
    </row>
    <row r="137" spans="1:8">
      <c r="A137" s="193">
        <v>7337</v>
      </c>
      <c r="B137" s="194" t="s">
        <v>125</v>
      </c>
      <c r="C137" s="198">
        <f t="shared" si="2"/>
        <v>18904</v>
      </c>
      <c r="D137" s="200">
        <f t="shared" si="3"/>
        <v>1.6503924819977878E-4</v>
      </c>
      <c r="E137" s="269"/>
      <c r="F137" s="254">
        <f>VLOOKUP(A137,'OPEB Amounts_Report'!$A$10:$A$324,1,FALSE)</f>
        <v>7337</v>
      </c>
      <c r="G137" s="116"/>
      <c r="H137" s="117"/>
    </row>
    <row r="138" spans="1:8">
      <c r="A138" s="195">
        <v>2329</v>
      </c>
      <c r="B138" s="196" t="s">
        <v>126</v>
      </c>
      <c r="C138" s="199">
        <f t="shared" ref="C138:C202" si="4">+VLOOKUP(A138,$D$319:$F$624,3,FALSE)</f>
        <v>44551</v>
      </c>
      <c r="D138" s="201">
        <f t="shared" ref="D138:D202" si="5">+C138/$C$314</f>
        <v>3.8894750034639995E-4</v>
      </c>
      <c r="E138" s="269"/>
      <c r="F138" s="254">
        <f>VLOOKUP(A138,'OPEB Amounts_Report'!$A$10:$A$324,1,FALSE)</f>
        <v>2329</v>
      </c>
      <c r="G138" s="116"/>
      <c r="H138" s="117"/>
    </row>
    <row r="139" spans="1:8">
      <c r="A139" s="193">
        <v>17425</v>
      </c>
      <c r="B139" s="194" t="s">
        <v>128</v>
      </c>
      <c r="C139" s="198">
        <f t="shared" si="4"/>
        <v>13568</v>
      </c>
      <c r="D139" s="200">
        <f t="shared" si="5"/>
        <v>1.1845389968126315E-4</v>
      </c>
      <c r="E139" s="269"/>
      <c r="F139" s="254">
        <f>VLOOKUP(A139,'OPEB Amounts_Report'!$A$10:$A$324,1,FALSE)</f>
        <v>17425</v>
      </c>
      <c r="G139" s="116"/>
      <c r="H139" s="117"/>
    </row>
    <row r="140" spans="1:8">
      <c r="A140" s="195">
        <v>4010</v>
      </c>
      <c r="B140" s="196" t="s">
        <v>129</v>
      </c>
      <c r="C140" s="199">
        <f t="shared" si="4"/>
        <v>32117</v>
      </c>
      <c r="D140" s="201">
        <f t="shared" si="5"/>
        <v>2.8039386026408673E-4</v>
      </c>
      <c r="E140" s="269"/>
      <c r="F140" s="254">
        <f>VLOOKUP(A140,'OPEB Amounts_Report'!$A$10:$A$324,1,FALSE)</f>
        <v>4010</v>
      </c>
      <c r="G140" s="116"/>
      <c r="H140" s="117"/>
    </row>
    <row r="141" spans="1:8">
      <c r="A141" s="193">
        <v>7023</v>
      </c>
      <c r="B141" s="194" t="s">
        <v>421</v>
      </c>
      <c r="C141" s="198">
        <f t="shared" si="4"/>
        <v>3907030</v>
      </c>
      <c r="D141" s="200">
        <f t="shared" si="5"/>
        <v>3.4109886473443804E-2</v>
      </c>
      <c r="E141" s="269"/>
      <c r="F141" s="254">
        <f>VLOOKUP(A141,'OPEB Amounts_Report'!$A$10:$A$324,1,FALSE)</f>
        <v>7023</v>
      </c>
      <c r="G141" s="116"/>
      <c r="H141" s="117"/>
    </row>
    <row r="142" spans="1:8">
      <c r="A142" s="195">
        <v>7338</v>
      </c>
      <c r="B142" s="196" t="s">
        <v>131</v>
      </c>
      <c r="C142" s="199">
        <f t="shared" si="4"/>
        <v>27013</v>
      </c>
      <c r="D142" s="201">
        <f t="shared" si="5"/>
        <v>2.3583396168115871E-4</v>
      </c>
      <c r="E142" s="269"/>
      <c r="F142" s="254">
        <f>VLOOKUP(A142,'OPEB Amounts_Report'!$A$10:$A$324,1,FALSE)</f>
        <v>7338</v>
      </c>
      <c r="G142" s="116"/>
      <c r="H142" s="117"/>
    </row>
    <row r="143" spans="1:8">
      <c r="A143" s="193">
        <v>12037</v>
      </c>
      <c r="B143" s="194" t="s">
        <v>132</v>
      </c>
      <c r="C143" s="198">
        <f t="shared" si="4"/>
        <v>222030</v>
      </c>
      <c r="D143" s="200">
        <f t="shared" si="5"/>
        <v>1.9384079706832884E-3</v>
      </c>
      <c r="E143" s="269"/>
      <c r="F143" s="254">
        <f>VLOOKUP(A143,'OPEB Amounts_Report'!$A$10:$A$324,1,FALSE)</f>
        <v>12037</v>
      </c>
      <c r="G143" s="116"/>
      <c r="H143" s="117"/>
    </row>
    <row r="144" spans="1:8">
      <c r="A144" s="195">
        <v>3150</v>
      </c>
      <c r="B144" s="196" t="s">
        <v>133</v>
      </c>
      <c r="C144" s="199">
        <f t="shared" si="4"/>
        <v>449765</v>
      </c>
      <c r="D144" s="201">
        <f t="shared" si="5"/>
        <v>3.9266228029291956E-3</v>
      </c>
      <c r="E144" s="269"/>
      <c r="F144" s="254">
        <f>VLOOKUP(A144,'OPEB Amounts_Report'!$A$10:$A$324,1,FALSE)</f>
        <v>3150</v>
      </c>
      <c r="G144" s="116"/>
      <c r="H144" s="117"/>
    </row>
    <row r="145" spans="1:8">
      <c r="A145" s="193">
        <v>3160</v>
      </c>
      <c r="B145" s="194" t="s">
        <v>134</v>
      </c>
      <c r="C145" s="198">
        <f t="shared" si="4"/>
        <v>104169</v>
      </c>
      <c r="D145" s="200">
        <f t="shared" si="5"/>
        <v>9.0943575146650219E-4</v>
      </c>
      <c r="E145" s="269"/>
      <c r="F145" s="254">
        <f>VLOOKUP(A145,'OPEB Amounts_Report'!$A$10:$A$324,1,FALSE)</f>
        <v>3160</v>
      </c>
      <c r="G145" s="116"/>
      <c r="H145" s="117"/>
    </row>
    <row r="146" spans="1:8">
      <c r="A146" s="195">
        <v>10120</v>
      </c>
      <c r="B146" s="196" t="s">
        <v>135</v>
      </c>
      <c r="C146" s="199">
        <f t="shared" si="4"/>
        <v>53435</v>
      </c>
      <c r="D146" s="201">
        <f t="shared" si="5"/>
        <v>4.6650826425916102E-4</v>
      </c>
      <c r="E146" s="269"/>
      <c r="F146" s="254">
        <f>VLOOKUP(A146,'OPEB Amounts_Report'!$A$10:$A$324,1,FALSE)</f>
        <v>10120</v>
      </c>
      <c r="G146" s="116"/>
      <c r="H146" s="117"/>
    </row>
    <row r="147" spans="1:8">
      <c r="A147" s="193">
        <v>23070</v>
      </c>
      <c r="B147" s="194" t="s">
        <v>136</v>
      </c>
      <c r="C147" s="198">
        <f t="shared" si="4"/>
        <v>80676</v>
      </c>
      <c r="D147" s="200">
        <f t="shared" si="5"/>
        <v>7.0433275432529375E-4</v>
      </c>
      <c r="E147" s="269"/>
      <c r="F147" s="254">
        <f>VLOOKUP(A147,'OPEB Amounts_Report'!$A$10:$A$324,1,FALSE)</f>
        <v>23070</v>
      </c>
      <c r="G147" s="116"/>
      <c r="H147" s="117"/>
    </row>
    <row r="148" spans="1:8">
      <c r="A148" s="195">
        <v>3170</v>
      </c>
      <c r="B148" s="196" t="s">
        <v>137</v>
      </c>
      <c r="C148" s="199">
        <f t="shared" si="4"/>
        <v>1044231</v>
      </c>
      <c r="D148" s="201">
        <f t="shared" si="5"/>
        <v>9.1165414296922979E-3</v>
      </c>
      <c r="E148" s="269"/>
      <c r="F148" s="254">
        <f>VLOOKUP(A148,'OPEB Amounts_Report'!$A$10:$A$324,1,FALSE)</f>
        <v>3170</v>
      </c>
      <c r="G148" s="116"/>
      <c r="H148" s="117"/>
    </row>
    <row r="149" spans="1:8">
      <c r="A149" s="193">
        <v>32093</v>
      </c>
      <c r="B149" s="194" t="s">
        <v>138</v>
      </c>
      <c r="C149" s="198">
        <f t="shared" si="4"/>
        <v>694472</v>
      </c>
      <c r="D149" s="200">
        <f t="shared" si="5"/>
        <v>6.0630097744285216E-3</v>
      </c>
      <c r="E149" s="269"/>
      <c r="F149" s="254">
        <f>VLOOKUP(A149,'OPEB Amounts_Report'!$A$10:$A$324,1,FALSE)</f>
        <v>32093</v>
      </c>
      <c r="G149" s="116"/>
      <c r="H149" s="117"/>
    </row>
    <row r="150" spans="1:8">
      <c r="A150" s="195">
        <v>14045</v>
      </c>
      <c r="B150" s="196" t="s">
        <v>139</v>
      </c>
      <c r="C150" s="199">
        <f t="shared" si="4"/>
        <v>1312104</v>
      </c>
      <c r="D150" s="201">
        <f t="shared" si="5"/>
        <v>1.1455176561570173E-2</v>
      </c>
      <c r="E150" s="269"/>
      <c r="F150" s="254">
        <f>VLOOKUP(A150,'OPEB Amounts_Report'!$A$10:$A$324,1,FALSE)</f>
        <v>14045</v>
      </c>
      <c r="G150" s="116"/>
      <c r="H150" s="117"/>
    </row>
    <row r="151" spans="1:8">
      <c r="A151" s="193">
        <v>2322</v>
      </c>
      <c r="B151" s="194" t="s">
        <v>140</v>
      </c>
      <c r="C151" s="198">
        <f t="shared" si="4"/>
        <v>31835</v>
      </c>
      <c r="D151" s="200">
        <f t="shared" si="5"/>
        <v>2.7793189094582935E-4</v>
      </c>
      <c r="E151" s="269"/>
      <c r="F151" s="254">
        <f>VLOOKUP(A151,'OPEB Amounts_Report'!$A$10:$A$324,1,FALSE)</f>
        <v>2322</v>
      </c>
      <c r="G151" s="116"/>
      <c r="H151" s="117"/>
    </row>
    <row r="152" spans="1:8">
      <c r="A152" s="195">
        <v>3006</v>
      </c>
      <c r="B152" s="223" t="s">
        <v>141</v>
      </c>
      <c r="C152" s="265">
        <f t="shared" si="4"/>
        <v>105085</v>
      </c>
      <c r="D152" s="224">
        <f t="shared" si="5"/>
        <v>9.1743278655701194E-4</v>
      </c>
      <c r="E152" s="269"/>
      <c r="F152" s="254">
        <f>VLOOKUP(A152,'OPEB Amounts_Report'!$A$10:$A$324,1,FALSE)</f>
        <v>3006</v>
      </c>
      <c r="G152" s="116"/>
      <c r="H152" s="117"/>
    </row>
    <row r="153" spans="1:8">
      <c r="A153" s="193">
        <v>6019</v>
      </c>
      <c r="B153" s="194" t="s">
        <v>142</v>
      </c>
      <c r="C153" s="198">
        <f t="shared" si="4"/>
        <v>565963</v>
      </c>
      <c r="D153" s="200">
        <f t="shared" si="5"/>
        <v>4.9410763874783853E-3</v>
      </c>
      <c r="E153" s="269"/>
      <c r="F153" s="254">
        <f>VLOOKUP(A153,'OPEB Amounts_Report'!$A$10:$A$324,1,FALSE)</f>
        <v>6019</v>
      </c>
      <c r="G153" s="116"/>
      <c r="H153" s="117"/>
    </row>
    <row r="154" spans="1:8">
      <c r="A154" s="195">
        <v>12128</v>
      </c>
      <c r="B154" s="196" t="s">
        <v>143</v>
      </c>
      <c r="C154" s="199">
        <f t="shared" si="4"/>
        <v>108698</v>
      </c>
      <c r="D154" s="201">
        <f t="shared" si="5"/>
        <v>9.4897567714872805E-4</v>
      </c>
      <c r="E154" s="269"/>
      <c r="F154" s="254">
        <f>VLOOKUP(A154,'OPEB Amounts_Report'!$A$10:$A$324,1,FALSE)</f>
        <v>12128</v>
      </c>
      <c r="G154" s="116"/>
      <c r="H154" s="117"/>
    </row>
    <row r="155" spans="1:8">
      <c r="A155" s="193">
        <v>3180</v>
      </c>
      <c r="B155" s="194" t="s">
        <v>144</v>
      </c>
      <c r="C155" s="198">
        <f t="shared" si="4"/>
        <v>205115</v>
      </c>
      <c r="D155" s="200">
        <f t="shared" si="5"/>
        <v>1.7907334635261123E-3</v>
      </c>
      <c r="E155" s="269"/>
      <c r="F155" s="254">
        <f>VLOOKUP(A155,'OPEB Amounts_Report'!$A$10:$A$324,1,FALSE)</f>
        <v>3180</v>
      </c>
      <c r="G155" s="116"/>
      <c r="H155" s="117"/>
    </row>
    <row r="156" spans="1:8">
      <c r="A156" s="195">
        <v>25075</v>
      </c>
      <c r="B156" s="196" t="s">
        <v>145</v>
      </c>
      <c r="C156" s="199">
        <f t="shared" si="4"/>
        <v>85785</v>
      </c>
      <c r="D156" s="201">
        <f t="shared" si="5"/>
        <v>7.4893630484648872E-4</v>
      </c>
      <c r="E156" s="269"/>
      <c r="F156" s="254">
        <f>VLOOKUP(A156,'OPEB Amounts_Report'!$A$10:$A$324,1,FALSE)</f>
        <v>25075</v>
      </c>
      <c r="G156" s="116"/>
      <c r="H156" s="117"/>
    </row>
    <row r="157" spans="1:8">
      <c r="A157" s="193">
        <v>2311</v>
      </c>
      <c r="B157" s="194" t="s">
        <v>422</v>
      </c>
      <c r="C157" s="198">
        <f t="shared" si="4"/>
        <v>35147</v>
      </c>
      <c r="D157" s="200">
        <f t="shared" si="5"/>
        <v>3.0684693485387351E-4</v>
      </c>
      <c r="E157" s="269"/>
      <c r="F157" s="254">
        <f>VLOOKUP(A157,'OPEB Amounts_Report'!$A$10:$A$324,1,FALSE)</f>
        <v>2311</v>
      </c>
      <c r="G157" s="116"/>
      <c r="H157" s="117"/>
    </row>
    <row r="158" spans="1:8">
      <c r="A158" s="195">
        <v>9028</v>
      </c>
      <c r="B158" s="196" t="s">
        <v>146</v>
      </c>
      <c r="C158" s="199">
        <f t="shared" si="4"/>
        <v>31955</v>
      </c>
      <c r="D158" s="201">
        <f t="shared" si="5"/>
        <v>2.7897953746423674E-4</v>
      </c>
      <c r="E158" s="269"/>
      <c r="F158" s="254">
        <f>VLOOKUP(A158,'OPEB Amounts_Report'!$A$10:$A$324,1,FALSE)</f>
        <v>9028</v>
      </c>
      <c r="G158" s="116"/>
      <c r="H158" s="117"/>
    </row>
    <row r="159" spans="1:8">
      <c r="A159" s="193">
        <v>17424</v>
      </c>
      <c r="B159" s="194" t="s">
        <v>147</v>
      </c>
      <c r="C159" s="198">
        <f t="shared" si="4"/>
        <v>63815</v>
      </c>
      <c r="D159" s="200">
        <f t="shared" si="5"/>
        <v>5.571296881014009E-4</v>
      </c>
      <c r="E159" s="269"/>
      <c r="F159" s="254">
        <f>VLOOKUP(A159,'OPEB Amounts_Report'!$A$10:$A$324,1,FALSE)</f>
        <v>17424</v>
      </c>
      <c r="G159" s="116"/>
      <c r="H159" s="117"/>
    </row>
    <row r="160" spans="1:8">
      <c r="A160" s="195">
        <v>3200</v>
      </c>
      <c r="B160" s="196" t="s">
        <v>148</v>
      </c>
      <c r="C160" s="199">
        <f t="shared" si="4"/>
        <v>216989</v>
      </c>
      <c r="D160" s="201">
        <f t="shared" si="5"/>
        <v>1.8943980865225242E-3</v>
      </c>
      <c r="E160" s="269"/>
      <c r="F160" s="254">
        <f>VLOOKUP(A160,'OPEB Amounts_Report'!$A$10:$A$324,1,FALSE)</f>
        <v>3200</v>
      </c>
      <c r="G160" s="116"/>
      <c r="H160" s="117"/>
    </row>
    <row r="161" spans="1:8">
      <c r="A161" s="193">
        <v>2365</v>
      </c>
      <c r="B161" s="194" t="s">
        <v>149</v>
      </c>
      <c r="C161" s="198">
        <f t="shared" si="4"/>
        <v>25986</v>
      </c>
      <c r="D161" s="200">
        <f t="shared" si="5"/>
        <v>2.2686785356112207E-4</v>
      </c>
      <c r="E161" s="269"/>
      <c r="F161" s="254">
        <f>VLOOKUP(A161,'OPEB Amounts_Report'!$A$10:$A$324,1,FALSE)</f>
        <v>2365</v>
      </c>
      <c r="G161" s="116"/>
      <c r="H161" s="117"/>
    </row>
    <row r="162" spans="1:8">
      <c r="A162" s="195">
        <v>5014</v>
      </c>
      <c r="B162" s="196" t="s">
        <v>150</v>
      </c>
      <c r="C162" s="199">
        <f t="shared" si="4"/>
        <v>45789</v>
      </c>
      <c r="D162" s="201">
        <f t="shared" si="5"/>
        <v>3.9975572026130292E-4</v>
      </c>
      <c r="E162" s="269"/>
      <c r="F162" s="254">
        <f>VLOOKUP(A162,'OPEB Amounts_Report'!$A$10:$A$324,1,FALSE)</f>
        <v>5014</v>
      </c>
      <c r="G162" s="116"/>
      <c r="H162" s="117"/>
    </row>
    <row r="163" spans="1:8">
      <c r="A163" s="193">
        <v>17127</v>
      </c>
      <c r="B163" s="194" t="s">
        <v>151</v>
      </c>
      <c r="C163" s="198">
        <f t="shared" si="4"/>
        <v>52398</v>
      </c>
      <c r="D163" s="200">
        <f t="shared" si="5"/>
        <v>4.574548522625904E-4</v>
      </c>
      <c r="E163" s="269"/>
      <c r="F163" s="254">
        <f>VLOOKUP(A163,'OPEB Amounts_Report'!$A$10:$A$324,1,FALSE)</f>
        <v>17127</v>
      </c>
      <c r="G163" s="116"/>
      <c r="H163" s="117"/>
    </row>
    <row r="164" spans="1:8">
      <c r="A164" s="195">
        <v>10141</v>
      </c>
      <c r="B164" s="196" t="s">
        <v>152</v>
      </c>
      <c r="C164" s="199">
        <f t="shared" si="4"/>
        <v>110970</v>
      </c>
      <c r="D164" s="201">
        <f t="shared" si="5"/>
        <v>9.6881111789724143E-4</v>
      </c>
      <c r="E164" s="269"/>
      <c r="F164" s="254">
        <f>VLOOKUP(A164,'OPEB Amounts_Report'!$A$10:$A$324,1,FALSE)</f>
        <v>10141</v>
      </c>
      <c r="G164" s="116"/>
      <c r="H164" s="117"/>
    </row>
    <row r="165" spans="1:8">
      <c r="A165" s="193">
        <v>13369</v>
      </c>
      <c r="B165" s="194" t="s">
        <v>153</v>
      </c>
      <c r="C165" s="198">
        <f t="shared" si="4"/>
        <v>16420</v>
      </c>
      <c r="D165" s="200">
        <f t="shared" si="5"/>
        <v>1.4335296526874565E-4</v>
      </c>
      <c r="E165" s="269"/>
      <c r="F165" s="254">
        <f>VLOOKUP(A165,'OPEB Amounts_Report'!$A$10:$A$324,1,FALSE)</f>
        <v>13369</v>
      </c>
      <c r="G165" s="116"/>
      <c r="H165" s="117"/>
    </row>
    <row r="166" spans="1:8">
      <c r="A166" s="195">
        <v>4570</v>
      </c>
      <c r="B166" s="196" t="s">
        <v>400</v>
      </c>
      <c r="C166" s="199">
        <f t="shared" si="4"/>
        <v>168116</v>
      </c>
      <c r="D166" s="201">
        <f t="shared" si="5"/>
        <v>1.4677178507381513E-3</v>
      </c>
      <c r="E166" s="269"/>
      <c r="F166" s="254">
        <f>VLOOKUP(A166,'OPEB Amounts_Report'!$A$10:$A$324,1,FALSE)</f>
        <v>4570</v>
      </c>
      <c r="G166" s="116"/>
      <c r="H166" s="117"/>
    </row>
    <row r="167" spans="1:8">
      <c r="A167" s="193">
        <v>2425</v>
      </c>
      <c r="B167" s="194" t="s">
        <v>154</v>
      </c>
      <c r="C167" s="198">
        <f t="shared" si="4"/>
        <v>349095</v>
      </c>
      <c r="D167" s="200">
        <f t="shared" si="5"/>
        <v>3.0477346778619223E-3</v>
      </c>
      <c r="E167" s="269"/>
      <c r="F167" s="254">
        <f>VLOOKUP(A167,'OPEB Amounts_Report'!$A$10:$A$324,1,FALSE)</f>
        <v>2425</v>
      </c>
      <c r="G167" s="116"/>
      <c r="H167" s="117"/>
    </row>
    <row r="168" spans="1:8">
      <c r="A168" s="195">
        <v>1306</v>
      </c>
      <c r="B168" s="196" t="s">
        <v>155</v>
      </c>
      <c r="C168" s="199">
        <f t="shared" si="4"/>
        <v>51776</v>
      </c>
      <c r="D168" s="201">
        <f t="shared" si="5"/>
        <v>4.520245511421787E-4</v>
      </c>
      <c r="E168" s="269"/>
      <c r="F168" s="254">
        <f>VLOOKUP(A168,'OPEB Amounts_Report'!$A$10:$A$324,1,FALSE)</f>
        <v>1306</v>
      </c>
      <c r="G168" s="116"/>
      <c r="H168" s="117"/>
    </row>
    <row r="169" spans="1:8">
      <c r="A169" s="193">
        <v>2351</v>
      </c>
      <c r="B169" s="194" t="s">
        <v>156</v>
      </c>
      <c r="C169" s="198">
        <f t="shared" si="4"/>
        <v>55892</v>
      </c>
      <c r="D169" s="200">
        <f t="shared" si="5"/>
        <v>4.879588267235525E-4</v>
      </c>
      <c r="E169" s="269"/>
      <c r="F169" s="254">
        <f>VLOOKUP(A169,'OPEB Amounts_Report'!$A$10:$A$324,1,FALSE)</f>
        <v>2351</v>
      </c>
      <c r="G169" s="116"/>
      <c r="H169" s="117"/>
    </row>
    <row r="170" spans="1:8">
      <c r="A170" s="195">
        <v>2334</v>
      </c>
      <c r="B170" s="196" t="s">
        <v>157</v>
      </c>
      <c r="C170" s="199">
        <f t="shared" si="4"/>
        <v>38269</v>
      </c>
      <c r="D170" s="201">
        <f t="shared" si="5"/>
        <v>3.3410320510777265E-4</v>
      </c>
      <c r="E170" s="269"/>
      <c r="F170" s="254">
        <f>VLOOKUP(A170,'OPEB Amounts_Report'!$A$10:$A$324,1,FALSE)</f>
        <v>2334</v>
      </c>
      <c r="G170" s="116"/>
      <c r="H170" s="117"/>
    </row>
    <row r="171" spans="1:8">
      <c r="A171" s="193">
        <v>30089</v>
      </c>
      <c r="B171" s="194" t="s">
        <v>158</v>
      </c>
      <c r="C171" s="198">
        <f t="shared" si="4"/>
        <v>107552</v>
      </c>
      <c r="D171" s="200">
        <f t="shared" si="5"/>
        <v>9.3897065289793734E-4</v>
      </c>
      <c r="E171" s="269"/>
      <c r="F171" s="254">
        <f>VLOOKUP(A171,'OPEB Amounts_Report'!$A$10:$A$324,1,FALSE)</f>
        <v>30089</v>
      </c>
      <c r="G171" s="116"/>
      <c r="H171" s="117"/>
    </row>
    <row r="172" spans="1:8">
      <c r="A172" s="195">
        <v>9324</v>
      </c>
      <c r="B172" s="196" t="s">
        <v>159</v>
      </c>
      <c r="C172" s="199">
        <f t="shared" si="4"/>
        <v>14884</v>
      </c>
      <c r="D172" s="201">
        <f t="shared" si="5"/>
        <v>1.2994308983313094E-4</v>
      </c>
      <c r="E172" s="269"/>
      <c r="F172" s="254">
        <f>VLOOKUP(A172,'OPEB Amounts_Report'!$A$10:$A$324,1,FALSE)</f>
        <v>9324</v>
      </c>
      <c r="G172" s="116"/>
      <c r="H172" s="117"/>
    </row>
    <row r="173" spans="1:8">
      <c r="A173" s="193">
        <v>22066</v>
      </c>
      <c r="B173" s="194" t="s">
        <v>160</v>
      </c>
      <c r="C173" s="198">
        <f t="shared" si="4"/>
        <v>398668</v>
      </c>
      <c r="D173" s="200">
        <f t="shared" si="5"/>
        <v>3.4805261850036715E-3</v>
      </c>
      <c r="E173" s="269"/>
      <c r="F173" s="254">
        <f>VLOOKUP(A173,'OPEB Amounts_Report'!$A$10:$A$324,1,FALSE)</f>
        <v>22066</v>
      </c>
      <c r="G173" s="116"/>
      <c r="H173" s="117"/>
    </row>
    <row r="174" spans="1:8">
      <c r="A174" s="195">
        <v>16356</v>
      </c>
      <c r="B174" s="196" t="s">
        <v>161</v>
      </c>
      <c r="C174" s="199">
        <f t="shared" si="4"/>
        <v>24247</v>
      </c>
      <c r="D174" s="201">
        <f t="shared" si="5"/>
        <v>2.1168570943186818E-4</v>
      </c>
      <c r="E174" s="269"/>
      <c r="F174" s="254">
        <f>VLOOKUP(A174,'OPEB Amounts_Report'!$A$10:$A$324,1,FALSE)</f>
        <v>16356</v>
      </c>
      <c r="G174" s="116"/>
      <c r="H174" s="117"/>
    </row>
    <row r="175" spans="1:8">
      <c r="A175" s="193">
        <v>31091</v>
      </c>
      <c r="B175" s="194" t="s">
        <v>162</v>
      </c>
      <c r="C175" s="198">
        <f t="shared" si="4"/>
        <v>24116</v>
      </c>
      <c r="D175" s="200">
        <f t="shared" si="5"/>
        <v>2.1054202864927344E-4</v>
      </c>
      <c r="E175" s="269"/>
      <c r="F175" s="254">
        <f>VLOOKUP(A175,'OPEB Amounts_Report'!$A$10:$A$324,1,FALSE)</f>
        <v>31091</v>
      </c>
      <c r="G175" s="116"/>
      <c r="H175" s="117"/>
    </row>
    <row r="176" spans="1:8">
      <c r="A176" s="195">
        <v>2342</v>
      </c>
      <c r="B176" s="196" t="s">
        <v>163</v>
      </c>
      <c r="C176" s="199">
        <f t="shared" si="4"/>
        <v>42424</v>
      </c>
      <c r="D176" s="201">
        <f t="shared" si="5"/>
        <v>3.7037796580762883E-4</v>
      </c>
      <c r="E176" s="269"/>
      <c r="F176" s="254">
        <f>VLOOKUP(A176,'OPEB Amounts_Report'!$A$10:$A$324,1,FALSE)</f>
        <v>2342</v>
      </c>
      <c r="G176" s="116"/>
      <c r="H176" s="117"/>
    </row>
    <row r="177" spans="1:8">
      <c r="A177" s="193">
        <v>22067</v>
      </c>
      <c r="B177" s="194" t="s">
        <v>164</v>
      </c>
      <c r="C177" s="198">
        <f t="shared" si="4"/>
        <v>60771</v>
      </c>
      <c r="D177" s="200">
        <f t="shared" si="5"/>
        <v>5.3055438808446661E-4</v>
      </c>
      <c r="E177" s="269"/>
      <c r="F177" s="254">
        <f>VLOOKUP(A177,'OPEB Amounts_Report'!$A$10:$A$324,1,FALSE)</f>
        <v>22067</v>
      </c>
      <c r="G177" s="116"/>
      <c r="H177" s="117"/>
    </row>
    <row r="178" spans="1:8">
      <c r="A178" s="195">
        <v>32112</v>
      </c>
      <c r="B178" s="196" t="s">
        <v>165</v>
      </c>
      <c r="C178" s="199">
        <f t="shared" si="4"/>
        <v>24194</v>
      </c>
      <c r="D178" s="201">
        <f t="shared" si="5"/>
        <v>2.1122299888623827E-4</v>
      </c>
      <c r="E178" s="269"/>
      <c r="F178" s="254">
        <f>VLOOKUP(A178,'OPEB Amounts_Report'!$A$10:$A$324,1,FALSE)</f>
        <v>32112</v>
      </c>
      <c r="G178" s="116"/>
      <c r="H178" s="117"/>
    </row>
    <row r="179" spans="1:8">
      <c r="A179" s="193">
        <v>2354</v>
      </c>
      <c r="B179" s="194" t="s">
        <v>166</v>
      </c>
      <c r="C179" s="198">
        <f t="shared" si="4"/>
        <v>84242</v>
      </c>
      <c r="D179" s="200">
        <f t="shared" si="5"/>
        <v>7.3546531669730025E-4</v>
      </c>
      <c r="E179" s="269"/>
      <c r="F179" s="254">
        <f>VLOOKUP(A179,'OPEB Amounts_Report'!$A$10:$A$324,1,FALSE)</f>
        <v>2354</v>
      </c>
      <c r="G179" s="116"/>
      <c r="H179" s="117"/>
    </row>
    <row r="180" spans="1:8">
      <c r="A180" s="195">
        <v>2148</v>
      </c>
      <c r="B180" s="196" t="s">
        <v>167</v>
      </c>
      <c r="C180" s="199">
        <f t="shared" si="4"/>
        <v>25133</v>
      </c>
      <c r="D180" s="201">
        <f t="shared" si="5"/>
        <v>2.1942083289277613E-4</v>
      </c>
      <c r="E180" s="269"/>
      <c r="F180" s="254">
        <f>VLOOKUP(A180,'OPEB Amounts_Report'!$A$10:$A$324,1,FALSE)</f>
        <v>2148</v>
      </c>
      <c r="G180" s="116"/>
      <c r="H180" s="117"/>
    </row>
    <row r="181" spans="1:8">
      <c r="A181" s="193">
        <v>1418</v>
      </c>
      <c r="B181" s="194" t="s">
        <v>168</v>
      </c>
      <c r="C181" s="198">
        <f t="shared" si="4"/>
        <v>115003</v>
      </c>
      <c r="D181" s="200">
        <f t="shared" si="5"/>
        <v>1.0040207713033834E-3</v>
      </c>
      <c r="E181" s="269"/>
      <c r="F181" s="254">
        <f>VLOOKUP(A181,'OPEB Amounts_Report'!$A$10:$A$324,1,FALSE)</f>
        <v>1418</v>
      </c>
      <c r="G181" s="116"/>
      <c r="H181" s="117"/>
    </row>
    <row r="182" spans="1:8">
      <c r="A182" s="195">
        <v>12102</v>
      </c>
      <c r="B182" s="196" t="s">
        <v>169</v>
      </c>
      <c r="C182" s="199">
        <f t="shared" si="4"/>
        <v>635534</v>
      </c>
      <c r="D182" s="201">
        <f t="shared" si="5"/>
        <v>5.5484581869127284E-3</v>
      </c>
      <c r="E182" s="269"/>
      <c r="F182" s="254">
        <f>VLOOKUP(A182,'OPEB Amounts_Report'!$A$10:$A$324,1,FALSE)</f>
        <v>12102</v>
      </c>
      <c r="G182" s="116"/>
      <c r="H182" s="117"/>
    </row>
    <row r="183" spans="1:8">
      <c r="A183" s="193">
        <v>2414</v>
      </c>
      <c r="B183" s="194" t="s">
        <v>170</v>
      </c>
      <c r="C183" s="198">
        <f t="shared" si="4"/>
        <v>60338</v>
      </c>
      <c r="D183" s="200">
        <f t="shared" si="5"/>
        <v>5.2677413023054654E-4</v>
      </c>
      <c r="E183" s="269"/>
      <c r="F183" s="254">
        <f>VLOOKUP(A183,'OPEB Amounts_Report'!$A$10:$A$324,1,FALSE)</f>
        <v>2414</v>
      </c>
      <c r="G183" s="116"/>
      <c r="H183" s="117"/>
    </row>
    <row r="184" spans="1:8">
      <c r="A184" s="195">
        <v>6124</v>
      </c>
      <c r="B184" s="196" t="s">
        <v>171</v>
      </c>
      <c r="C184" s="199">
        <f t="shared" si="4"/>
        <v>296660</v>
      </c>
      <c r="D184" s="201">
        <f t="shared" si="5"/>
        <v>2.5899568012561561E-3</v>
      </c>
      <c r="E184" s="269"/>
      <c r="F184" s="254">
        <f>VLOOKUP(A184,'OPEB Amounts_Report'!$A$10:$A$324,1,FALSE)</f>
        <v>6124</v>
      </c>
      <c r="G184" s="116"/>
      <c r="H184" s="117"/>
    </row>
    <row r="185" spans="1:8">
      <c r="A185" s="193">
        <v>4097</v>
      </c>
      <c r="B185" s="194" t="s">
        <v>172</v>
      </c>
      <c r="C185" s="198">
        <f t="shared" si="4"/>
        <v>338475</v>
      </c>
      <c r="D185" s="200">
        <f t="shared" si="5"/>
        <v>2.9550179609828674E-3</v>
      </c>
      <c r="E185" s="269"/>
      <c r="F185" s="254">
        <f>VLOOKUP(A185,'OPEB Amounts_Report'!$A$10:$A$324,1,FALSE)</f>
        <v>4097</v>
      </c>
      <c r="G185" s="116"/>
      <c r="H185" s="117"/>
    </row>
    <row r="186" spans="1:8">
      <c r="A186" s="195">
        <v>1416</v>
      </c>
      <c r="B186" s="196" t="s">
        <v>173</v>
      </c>
      <c r="C186" s="199">
        <f t="shared" si="4"/>
        <v>47260</v>
      </c>
      <c r="D186" s="201">
        <f t="shared" si="5"/>
        <v>4.1259812049944698E-4</v>
      </c>
      <c r="E186" s="269"/>
      <c r="F186" s="254">
        <f>VLOOKUP(A186,'OPEB Amounts_Report'!$A$10:$A$324,1,FALSE)</f>
        <v>1416</v>
      </c>
      <c r="G186" s="116"/>
      <c r="H186" s="117"/>
    </row>
    <row r="187" spans="1:8">
      <c r="A187" s="193">
        <v>1094</v>
      </c>
      <c r="B187" s="194" t="s">
        <v>174</v>
      </c>
      <c r="C187" s="198">
        <f t="shared" si="4"/>
        <v>220713</v>
      </c>
      <c r="D187" s="200">
        <f t="shared" si="5"/>
        <v>1.9269100501437672E-3</v>
      </c>
      <c r="E187" s="269"/>
      <c r="F187" s="254">
        <f>VLOOKUP(A187,'OPEB Amounts_Report'!$A$10:$A$324,1,FALSE)</f>
        <v>1094</v>
      </c>
      <c r="G187" s="116"/>
      <c r="H187" s="117"/>
    </row>
    <row r="188" spans="1:8">
      <c r="A188" s="195">
        <v>32111</v>
      </c>
      <c r="B188" s="196" t="s">
        <v>175</v>
      </c>
      <c r="C188" s="199">
        <f t="shared" si="4"/>
        <v>235132</v>
      </c>
      <c r="D188" s="201">
        <f t="shared" si="5"/>
        <v>2.0527935097180696E-3</v>
      </c>
      <c r="E188" s="269"/>
      <c r="F188" s="254">
        <f>VLOOKUP(A188,'OPEB Amounts_Report'!$A$10:$A$324,1,FALSE)</f>
        <v>32111</v>
      </c>
      <c r="G188" s="116"/>
      <c r="H188" s="117"/>
    </row>
    <row r="189" spans="1:8">
      <c r="A189" s="193">
        <v>2520</v>
      </c>
      <c r="B189" s="194" t="s">
        <v>176</v>
      </c>
      <c r="C189" s="198">
        <f t="shared" si="4"/>
        <v>35312</v>
      </c>
      <c r="D189" s="200">
        <f t="shared" si="5"/>
        <v>3.0828744881668371E-4</v>
      </c>
      <c r="E189" s="269"/>
      <c r="F189" s="254">
        <f>VLOOKUP(A189,'OPEB Amounts_Report'!$A$10:$A$324,1,FALSE)</f>
        <v>2520</v>
      </c>
      <c r="G189" s="116"/>
      <c r="H189" s="117"/>
    </row>
    <row r="190" spans="1:8">
      <c r="A190" s="195">
        <v>3450</v>
      </c>
      <c r="B190" s="196" t="s">
        <v>177</v>
      </c>
      <c r="C190" s="199">
        <f t="shared" si="4"/>
        <v>63731</v>
      </c>
      <c r="D190" s="201">
        <f t="shared" si="5"/>
        <v>5.5639633553851572E-4</v>
      </c>
      <c r="E190" s="269"/>
      <c r="F190" s="254">
        <f>VLOOKUP(A190,'OPEB Amounts_Report'!$A$10:$A$324,1,FALSE)</f>
        <v>3450</v>
      </c>
      <c r="G190" s="116"/>
      <c r="H190" s="117"/>
    </row>
    <row r="191" spans="1:8">
      <c r="A191" s="193">
        <v>4310</v>
      </c>
      <c r="B191" s="194" t="s">
        <v>178</v>
      </c>
      <c r="C191" s="198">
        <f t="shared" si="4"/>
        <v>28464</v>
      </c>
      <c r="D191" s="200">
        <f t="shared" si="5"/>
        <v>2.4850175416623482E-4</v>
      </c>
      <c r="E191" s="269"/>
      <c r="F191" s="254">
        <f>VLOOKUP(A191,'OPEB Amounts_Report'!$A$10:$A$324,1,FALSE)</f>
        <v>4310</v>
      </c>
      <c r="G191" s="116"/>
      <c r="H191" s="117"/>
    </row>
    <row r="192" spans="1:8">
      <c r="A192" s="195">
        <v>4215</v>
      </c>
      <c r="B192" s="196" t="s">
        <v>182</v>
      </c>
      <c r="C192" s="199">
        <f t="shared" si="4"/>
        <v>35640</v>
      </c>
      <c r="D192" s="201">
        <f t="shared" si="5"/>
        <v>3.1115101596699727E-4</v>
      </c>
      <c r="E192" s="269"/>
      <c r="F192" s="254"/>
      <c r="G192" s="116"/>
      <c r="H192" s="117"/>
    </row>
    <row r="193" spans="1:8">
      <c r="A193" s="193">
        <v>2328</v>
      </c>
      <c r="B193" s="194" t="s">
        <v>179</v>
      </c>
      <c r="C193" s="198">
        <f t="shared" si="4"/>
        <v>61105</v>
      </c>
      <c r="D193" s="200">
        <f t="shared" si="5"/>
        <v>5.334703375607005E-4</v>
      </c>
      <c r="E193" s="269"/>
      <c r="F193" s="254">
        <f>VLOOKUP(A193,'OPEB Amounts_Report'!$A$10:$A$324,1,FALSE)</f>
        <v>2328</v>
      </c>
      <c r="G193" s="116"/>
      <c r="H193" s="117"/>
    </row>
    <row r="194" spans="1:8">
      <c r="A194" s="195">
        <v>12151</v>
      </c>
      <c r="B194" s="196" t="s">
        <v>180</v>
      </c>
      <c r="C194" s="199">
        <f t="shared" si="4"/>
        <v>18701</v>
      </c>
      <c r="D194" s="201">
        <f t="shared" si="5"/>
        <v>1.632669795061396E-4</v>
      </c>
      <c r="E194" s="269"/>
      <c r="F194" s="254">
        <f>VLOOKUP(A194,'OPEB Amounts_Report'!$A$10:$A$324,1,FALSE)</f>
        <v>12151</v>
      </c>
      <c r="G194" s="116"/>
      <c r="H194" s="117"/>
    </row>
    <row r="195" spans="1:8">
      <c r="A195" s="193">
        <v>32110</v>
      </c>
      <c r="B195" s="194" t="s">
        <v>181</v>
      </c>
      <c r="C195" s="198">
        <f t="shared" si="4"/>
        <v>230799</v>
      </c>
      <c r="D195" s="200">
        <f t="shared" si="5"/>
        <v>2.014964740015909E-3</v>
      </c>
      <c r="E195" s="269"/>
      <c r="F195" s="254">
        <f>VLOOKUP(A195,'OPEB Amounts_Report'!$A$10:$A$324,1,FALSE)</f>
        <v>32110</v>
      </c>
      <c r="G195" s="116"/>
      <c r="H195" s="117"/>
    </row>
    <row r="196" spans="1:8">
      <c r="A196" s="195">
        <v>2870</v>
      </c>
      <c r="B196" s="196" t="s">
        <v>183</v>
      </c>
      <c r="C196" s="199">
        <f t="shared" si="4"/>
        <v>38943</v>
      </c>
      <c r="D196" s="201">
        <f t="shared" si="5"/>
        <v>3.3998748638616088E-4</v>
      </c>
      <c r="E196" s="269"/>
      <c r="F196" s="254">
        <f>VLOOKUP(A196,'OPEB Amounts_Report'!$A$10:$A$324,1,FALSE)</f>
        <v>2870</v>
      </c>
      <c r="G196" s="116"/>
      <c r="H196" s="117"/>
    </row>
    <row r="197" spans="1:8">
      <c r="A197" s="193">
        <v>29150</v>
      </c>
      <c r="B197" s="194" t="s">
        <v>184</v>
      </c>
      <c r="C197" s="198">
        <f t="shared" si="4"/>
        <v>9869</v>
      </c>
      <c r="D197" s="200">
        <f t="shared" si="5"/>
        <v>8.6160195751355096E-5</v>
      </c>
      <c r="E197" s="269"/>
      <c r="F197" s="254">
        <f>VLOOKUP(A197,'OPEB Amounts_Report'!$A$10:$A$324,1,FALSE)</f>
        <v>29150</v>
      </c>
      <c r="G197" s="116"/>
      <c r="H197" s="117"/>
    </row>
    <row r="198" spans="1:8">
      <c r="A198" s="195">
        <v>32118</v>
      </c>
      <c r="B198" s="196" t="s">
        <v>186</v>
      </c>
      <c r="C198" s="199">
        <f t="shared" si="4"/>
        <v>146295</v>
      </c>
      <c r="D198" s="201">
        <f t="shared" si="5"/>
        <v>1.2772120617534192E-3</v>
      </c>
      <c r="E198" s="269"/>
      <c r="F198" s="254">
        <f>VLOOKUP(A198,'OPEB Amounts_Report'!$A$10:$A$324,1,FALSE)</f>
        <v>32118</v>
      </c>
      <c r="G198" s="116"/>
      <c r="H198" s="117"/>
    </row>
    <row r="199" spans="1:8">
      <c r="A199" s="193">
        <v>12039</v>
      </c>
      <c r="B199" s="194" t="s">
        <v>187</v>
      </c>
      <c r="C199" s="198">
        <f t="shared" si="4"/>
        <v>100556</v>
      </c>
      <c r="D199" s="200">
        <f t="shared" si="5"/>
        <v>8.7789286087478608E-4</v>
      </c>
      <c r="E199" s="269"/>
      <c r="F199" s="254">
        <f>VLOOKUP(A199,'OPEB Amounts_Report'!$A$10:$A$324,1,FALSE)</f>
        <v>12039</v>
      </c>
      <c r="G199" s="116"/>
      <c r="H199" s="117"/>
    </row>
    <row r="200" spans="1:8">
      <c r="A200" s="195">
        <v>12150</v>
      </c>
      <c r="B200" s="196" t="s">
        <v>188</v>
      </c>
      <c r="C200" s="266">
        <f t="shared" si="4"/>
        <v>19395</v>
      </c>
      <c r="D200" s="201">
        <f t="shared" si="5"/>
        <v>1.6932586853759572E-4</v>
      </c>
      <c r="E200" s="269"/>
      <c r="F200" s="254">
        <f>VLOOKUP(A200,'OPEB Amounts_Report'!$A$10:$A$324,1,FALSE)</f>
        <v>12150</v>
      </c>
      <c r="G200" s="116"/>
      <c r="H200" s="117"/>
    </row>
    <row r="201" spans="1:8">
      <c r="A201" s="193">
        <v>20060</v>
      </c>
      <c r="B201" s="194" t="s">
        <v>189</v>
      </c>
      <c r="C201" s="198">
        <f t="shared" si="4"/>
        <v>75164</v>
      </c>
      <c r="D201" s="200">
        <f t="shared" si="5"/>
        <v>6.5621085757978058E-4</v>
      </c>
      <c r="E201" s="269"/>
      <c r="F201" s="254">
        <f>VLOOKUP(A201,'OPEB Amounts_Report'!$A$10:$A$324,1,FALSE)</f>
        <v>20060</v>
      </c>
      <c r="G201" s="116"/>
      <c r="H201" s="117"/>
    </row>
    <row r="202" spans="1:8">
      <c r="A202" s="195">
        <v>1001</v>
      </c>
      <c r="B202" s="196" t="s">
        <v>190</v>
      </c>
      <c r="C202" s="199">
        <f t="shared" si="4"/>
        <v>245536</v>
      </c>
      <c r="D202" s="201">
        <f t="shared" si="5"/>
        <v>2.1436244628639908E-3</v>
      </c>
      <c r="E202" s="269"/>
      <c r="F202" s="254">
        <f>VLOOKUP(A202,'OPEB Amounts_Report'!$A$10:$A$324,1,FALSE)</f>
        <v>1001</v>
      </c>
      <c r="G202" s="116"/>
      <c r="H202" s="117"/>
    </row>
    <row r="203" spans="1:8">
      <c r="A203" s="193">
        <v>11035</v>
      </c>
      <c r="B203" s="194" t="s">
        <v>191</v>
      </c>
      <c r="C203" s="198">
        <f t="shared" ref="C203:C266" si="6">+VLOOKUP(A203,$D$319:$F$624,3,FALSE)</f>
        <v>480304</v>
      </c>
      <c r="D203" s="200">
        <f t="shared" ref="D203:D266" si="7">+C203/$C$314</f>
        <v>4.1932401114762249E-3</v>
      </c>
      <c r="E203" s="269"/>
      <c r="F203" s="254">
        <f>VLOOKUP(A203,'OPEB Amounts_Report'!$A$10:$A$324,1,FALSE)</f>
        <v>11035</v>
      </c>
      <c r="G203" s="116"/>
      <c r="H203" s="117"/>
    </row>
    <row r="204" spans="1:8">
      <c r="A204" s="195">
        <v>2320</v>
      </c>
      <c r="B204" s="196" t="s">
        <v>192</v>
      </c>
      <c r="C204" s="199">
        <f t="shared" si="6"/>
        <v>56785</v>
      </c>
      <c r="D204" s="201">
        <f t="shared" si="7"/>
        <v>4.9575506289803418E-4</v>
      </c>
      <c r="E204" s="269"/>
      <c r="F204" s="254">
        <f>VLOOKUP(A204,'OPEB Amounts_Report'!$A$10:$A$324,1,FALSE)</f>
        <v>2320</v>
      </c>
      <c r="G204" s="116"/>
      <c r="H204" s="117"/>
    </row>
    <row r="205" spans="1:8">
      <c r="A205" s="193">
        <v>28084</v>
      </c>
      <c r="B205" s="194" t="s">
        <v>193</v>
      </c>
      <c r="C205" s="198">
        <f t="shared" si="6"/>
        <v>43314</v>
      </c>
      <c r="D205" s="200">
        <f t="shared" si="7"/>
        <v>3.7814801081915034E-4</v>
      </c>
      <c r="E205" s="269"/>
      <c r="F205" s="254">
        <f>VLOOKUP(A205,'OPEB Amounts_Report'!$A$10:$A$324,1,FALSE)</f>
        <v>28084</v>
      </c>
      <c r="G205" s="116"/>
      <c r="H205" s="117"/>
    </row>
    <row r="206" spans="1:8">
      <c r="A206" s="195">
        <v>20125</v>
      </c>
      <c r="B206" s="196" t="s">
        <v>194</v>
      </c>
      <c r="C206" s="199">
        <f t="shared" si="6"/>
        <v>72386</v>
      </c>
      <c r="D206" s="201">
        <f t="shared" si="7"/>
        <v>6.3195784067864936E-4</v>
      </c>
      <c r="E206" s="269"/>
      <c r="F206" s="254">
        <f>VLOOKUP(A206,'OPEB Amounts_Report'!$A$10:$A$324,1,FALSE)</f>
        <v>20125</v>
      </c>
      <c r="G206" s="116"/>
      <c r="H206" s="117"/>
    </row>
    <row r="207" spans="1:8">
      <c r="A207" s="193">
        <v>7445</v>
      </c>
      <c r="B207" s="194" t="s">
        <v>411</v>
      </c>
      <c r="C207" s="198">
        <f t="shared" si="6"/>
        <v>24072</v>
      </c>
      <c r="D207" s="200">
        <f t="shared" si="7"/>
        <v>2.1015789159252408E-4</v>
      </c>
      <c r="E207" s="269"/>
      <c r="F207" s="254">
        <f>VLOOKUP(A207,'OPEB Amounts_Report'!$A$10:$A$324,1,FALSE)</f>
        <v>7445</v>
      </c>
      <c r="G207" s="116"/>
      <c r="H207" s="117"/>
    </row>
    <row r="208" spans="1:8">
      <c r="A208" s="195">
        <v>9029</v>
      </c>
      <c r="B208" s="196" t="s">
        <v>196</v>
      </c>
      <c r="C208" s="199">
        <f t="shared" si="6"/>
        <v>141850</v>
      </c>
      <c r="D208" s="201">
        <f t="shared" si="7"/>
        <v>1.2384054886340787E-3</v>
      </c>
      <c r="E208" s="269"/>
      <c r="F208" s="254">
        <f>VLOOKUP(A208,'OPEB Amounts_Report'!$A$10:$A$324,1,FALSE)</f>
        <v>9029</v>
      </c>
      <c r="G208" s="116"/>
      <c r="H208" s="117"/>
    </row>
    <row r="209" spans="1:8">
      <c r="A209" s="193">
        <v>2580</v>
      </c>
      <c r="B209" s="194" t="s">
        <v>197</v>
      </c>
      <c r="C209" s="198">
        <f t="shared" si="6"/>
        <v>16289</v>
      </c>
      <c r="D209" s="200">
        <f t="shared" si="7"/>
        <v>1.4220928448615091E-4</v>
      </c>
      <c r="E209" s="269"/>
      <c r="F209" s="254">
        <f>VLOOKUP(A209,'OPEB Amounts_Report'!$A$10:$A$324,1,FALSE)</f>
        <v>2580</v>
      </c>
      <c r="G209" s="116"/>
      <c r="H209" s="117"/>
    </row>
    <row r="210" spans="1:8">
      <c r="A210" s="195">
        <v>20312</v>
      </c>
      <c r="B210" s="196" t="s">
        <v>198</v>
      </c>
      <c r="C210" s="199">
        <f t="shared" si="6"/>
        <v>14376</v>
      </c>
      <c r="D210" s="201">
        <f t="shared" si="7"/>
        <v>1.2550805290520629E-4</v>
      </c>
      <c r="E210" s="269"/>
      <c r="F210" s="254">
        <f>VLOOKUP(A210,'OPEB Amounts_Report'!$A$10:$A$324,1,FALSE)</f>
        <v>20312</v>
      </c>
      <c r="G210" s="116"/>
      <c r="H210" s="117"/>
    </row>
    <row r="211" spans="1:8">
      <c r="A211" s="193">
        <v>26150</v>
      </c>
      <c r="B211" s="194" t="s">
        <v>199</v>
      </c>
      <c r="C211" s="198">
        <f t="shared" si="6"/>
        <v>104139</v>
      </c>
      <c r="D211" s="200">
        <f t="shared" si="7"/>
        <v>9.0917383983690032E-4</v>
      </c>
      <c r="E211" s="269"/>
      <c r="F211" s="254">
        <f>VLOOKUP(A211,'OPEB Amounts_Report'!$A$10:$A$324,1,FALSE)</f>
        <v>26150</v>
      </c>
      <c r="G211" s="116"/>
      <c r="H211" s="117"/>
    </row>
    <row r="212" spans="1:8">
      <c r="A212" s="195">
        <v>5016</v>
      </c>
      <c r="B212" s="196" t="s">
        <v>200</v>
      </c>
      <c r="C212" s="199">
        <f t="shared" si="6"/>
        <v>12087</v>
      </c>
      <c r="D212" s="201">
        <f t="shared" si="7"/>
        <v>1.0552419556658517E-4</v>
      </c>
      <c r="E212" s="269"/>
      <c r="F212" s="254">
        <f>VLOOKUP(A212,'OPEB Amounts_Report'!$A$10:$A$324,1,FALSE)</f>
        <v>5016</v>
      </c>
      <c r="G212" s="116"/>
      <c r="H212" s="117"/>
    </row>
    <row r="213" spans="1:8">
      <c r="A213" s="193">
        <v>6150</v>
      </c>
      <c r="B213" s="194" t="s">
        <v>201</v>
      </c>
      <c r="C213" s="198">
        <f t="shared" si="6"/>
        <v>15549</v>
      </c>
      <c r="D213" s="200">
        <f t="shared" si="7"/>
        <v>1.3574879762263861E-4</v>
      </c>
      <c r="E213" s="269"/>
      <c r="F213" s="254">
        <f>VLOOKUP(A213,'OPEB Amounts_Report'!$A$10:$A$324,1,FALSE)</f>
        <v>6150</v>
      </c>
      <c r="G213" s="116"/>
      <c r="H213" s="117"/>
    </row>
    <row r="214" spans="1:8">
      <c r="A214" s="195">
        <v>4480</v>
      </c>
      <c r="B214" s="196" t="s">
        <v>202</v>
      </c>
      <c r="C214" s="199">
        <f t="shared" si="6"/>
        <v>18915</v>
      </c>
      <c r="D214" s="201">
        <f t="shared" si="7"/>
        <v>1.6513528246396613E-4</v>
      </c>
      <c r="E214" s="269"/>
      <c r="F214" s="254">
        <f>VLOOKUP(A214,'OPEB Amounts_Report'!$A$10:$A$324,1,FALSE)</f>
        <v>4480</v>
      </c>
      <c r="G214" s="116"/>
      <c r="H214" s="117"/>
    </row>
    <row r="215" spans="1:8">
      <c r="A215" s="193">
        <v>28085</v>
      </c>
      <c r="B215" s="194" t="s">
        <v>203</v>
      </c>
      <c r="C215" s="198">
        <f t="shared" si="6"/>
        <v>37314</v>
      </c>
      <c r="D215" s="200">
        <f t="shared" si="7"/>
        <v>3.2576568489878043E-4</v>
      </c>
      <c r="E215" s="269"/>
      <c r="F215" s="254">
        <f>VLOOKUP(A215,'OPEB Amounts_Report'!$A$10:$A$324,1,FALSE)</f>
        <v>28085</v>
      </c>
      <c r="G215" s="116"/>
      <c r="H215" s="117"/>
    </row>
    <row r="216" spans="1:8">
      <c r="A216" s="195">
        <v>3240</v>
      </c>
      <c r="B216" s="223" t="s">
        <v>204</v>
      </c>
      <c r="C216" s="265">
        <f t="shared" si="6"/>
        <v>185275</v>
      </c>
      <c r="D216" s="224">
        <f t="shared" si="7"/>
        <v>1.6175225724827558E-3</v>
      </c>
      <c r="E216" s="269"/>
      <c r="F216" s="254">
        <f>VLOOKUP(A216,'OPEB Amounts_Report'!$A$10:$A$324,1,FALSE)</f>
        <v>3240</v>
      </c>
      <c r="G216" s="116"/>
      <c r="H216" s="117"/>
    </row>
    <row r="217" spans="1:8">
      <c r="A217" s="193">
        <v>12326</v>
      </c>
      <c r="B217" s="194" t="s">
        <v>205</v>
      </c>
      <c r="C217" s="198">
        <f t="shared" si="6"/>
        <v>16819</v>
      </c>
      <c r="D217" s="200">
        <f t="shared" si="7"/>
        <v>1.4683638994245025E-4</v>
      </c>
      <c r="E217" s="269"/>
      <c r="F217" s="254">
        <f>VLOOKUP(A217,'OPEB Amounts_Report'!$A$10:$A$324,1,FALSE)</f>
        <v>12326</v>
      </c>
      <c r="G217" s="116"/>
      <c r="H217" s="117"/>
    </row>
    <row r="218" spans="1:8">
      <c r="A218" s="195">
        <v>2445</v>
      </c>
      <c r="B218" s="196" t="s">
        <v>446</v>
      </c>
      <c r="C218" s="199">
        <f t="shared" si="6"/>
        <v>10821</v>
      </c>
      <c r="D218" s="201">
        <f t="shared" si="7"/>
        <v>9.4471524797387131E-5</v>
      </c>
      <c r="E218" s="269"/>
      <c r="F218" s="254">
        <f>VLOOKUP(A218,'OPEB Amounts_Report'!$A$10:$A$324,1,FALSE)</f>
        <v>2445</v>
      </c>
      <c r="G218" s="116"/>
      <c r="H218" s="117"/>
    </row>
    <row r="219" spans="1:8">
      <c r="A219" s="193">
        <v>29123</v>
      </c>
      <c r="B219" s="194" t="s">
        <v>206</v>
      </c>
      <c r="C219" s="198">
        <f t="shared" si="6"/>
        <v>2694156</v>
      </c>
      <c r="D219" s="200">
        <f t="shared" si="7"/>
        <v>2.3521026278720016E-2</v>
      </c>
      <c r="E219" s="269"/>
      <c r="F219" s="254">
        <f>VLOOKUP(A219,'OPEB Amounts_Report'!$A$10:$A$324,1,FALSE)</f>
        <v>29123</v>
      </c>
      <c r="G219" s="116"/>
      <c r="H219" s="117"/>
    </row>
    <row r="220" spans="1:8">
      <c r="A220" s="195">
        <v>2318</v>
      </c>
      <c r="B220" s="196" t="s">
        <v>207</v>
      </c>
      <c r="C220" s="199">
        <f t="shared" si="6"/>
        <v>69775</v>
      </c>
      <c r="D220" s="201">
        <f t="shared" si="7"/>
        <v>6.0916279851563502E-4</v>
      </c>
      <c r="E220" s="269"/>
      <c r="F220" s="254">
        <f>VLOOKUP(A220,'OPEB Amounts_Report'!$A$10:$A$324,1,FALSE)</f>
        <v>2318</v>
      </c>
      <c r="G220" s="116"/>
      <c r="H220" s="117"/>
    </row>
    <row r="221" spans="1:8">
      <c r="A221" s="193">
        <v>3250</v>
      </c>
      <c r="B221" s="194" t="s">
        <v>208</v>
      </c>
      <c r="C221" s="198">
        <f t="shared" si="6"/>
        <v>77880</v>
      </c>
      <c r="D221" s="200">
        <f t="shared" si="7"/>
        <v>6.7992259044640142E-4</v>
      </c>
      <c r="E221" s="269"/>
      <c r="F221" s="254">
        <f>VLOOKUP(A221,'OPEB Amounts_Report'!$A$10:$A$324,1,FALSE)</f>
        <v>3250</v>
      </c>
      <c r="G221" s="116"/>
      <c r="H221" s="117"/>
    </row>
    <row r="222" spans="1:8">
      <c r="A222" s="195">
        <v>2313</v>
      </c>
      <c r="B222" s="196" t="s">
        <v>209</v>
      </c>
      <c r="C222" s="199">
        <f t="shared" si="6"/>
        <v>10073</v>
      </c>
      <c r="D222" s="201">
        <f t="shared" si="7"/>
        <v>8.7941194832647673E-5</v>
      </c>
      <c r="E222" s="269"/>
      <c r="F222" s="254">
        <f>VLOOKUP(A222,'OPEB Amounts_Report'!$A$10:$A$324,1,FALSE)</f>
        <v>2313</v>
      </c>
      <c r="G222" s="116"/>
      <c r="H222" s="117"/>
    </row>
    <row r="223" spans="1:8">
      <c r="A223" s="193">
        <v>4011</v>
      </c>
      <c r="B223" s="194" t="s">
        <v>210</v>
      </c>
      <c r="C223" s="198">
        <f t="shared" si="6"/>
        <v>1533966</v>
      </c>
      <c r="D223" s="200">
        <f t="shared" si="7"/>
        <v>1.3392117827127691E-2</v>
      </c>
      <c r="E223" s="269"/>
      <c r="F223" s="254">
        <f>VLOOKUP(A223,'OPEB Amounts_Report'!$A$10:$A$324,1,FALSE)</f>
        <v>4011</v>
      </c>
      <c r="G223" s="116"/>
      <c r="H223" s="117"/>
    </row>
    <row r="224" spans="1:8">
      <c r="A224" s="195">
        <v>31092</v>
      </c>
      <c r="B224" s="196" t="s">
        <v>211</v>
      </c>
      <c r="C224" s="199">
        <f t="shared" si="6"/>
        <v>22585</v>
      </c>
      <c r="D224" s="201">
        <f t="shared" si="7"/>
        <v>1.9717580515192572E-4</v>
      </c>
      <c r="E224" s="269"/>
      <c r="F224" s="254">
        <f>VLOOKUP(A224,'OPEB Amounts_Report'!$A$10:$A$324,1,FALSE)</f>
        <v>31092</v>
      </c>
      <c r="G224" s="116"/>
      <c r="H224" s="117"/>
    </row>
    <row r="225" spans="1:8">
      <c r="A225" s="193">
        <v>26081</v>
      </c>
      <c r="B225" s="194" t="s">
        <v>212</v>
      </c>
      <c r="C225" s="198">
        <f t="shared" si="6"/>
        <v>277285</v>
      </c>
      <c r="D225" s="200">
        <f t="shared" si="7"/>
        <v>2.4208055404716282E-3</v>
      </c>
      <c r="E225" s="269"/>
      <c r="F225" s="254">
        <f>VLOOKUP(A225,'OPEB Amounts_Report'!$A$10:$A$324,1,FALSE)</f>
        <v>26081</v>
      </c>
      <c r="G225" s="116"/>
      <c r="H225" s="117"/>
    </row>
    <row r="226" spans="1:8">
      <c r="A226" s="195">
        <v>29305</v>
      </c>
      <c r="B226" s="196" t="s">
        <v>213</v>
      </c>
      <c r="C226" s="199">
        <f t="shared" si="6"/>
        <v>16211</v>
      </c>
      <c r="D226" s="201">
        <f t="shared" si="7"/>
        <v>1.4152831424918608E-4</v>
      </c>
      <c r="E226" s="269"/>
      <c r="F226" s="254">
        <f>VLOOKUP(A226,'OPEB Amounts_Report'!$A$10:$A$324,1,FALSE)</f>
        <v>29305</v>
      </c>
      <c r="G226" s="116"/>
      <c r="H226" s="117"/>
    </row>
    <row r="227" spans="1:8">
      <c r="A227" s="193">
        <v>10032</v>
      </c>
      <c r="B227" s="194" t="s">
        <v>214</v>
      </c>
      <c r="C227" s="198">
        <f t="shared" si="6"/>
        <v>29693</v>
      </c>
      <c r="D227" s="200">
        <f t="shared" si="7"/>
        <v>2.5923140059225729E-4</v>
      </c>
      <c r="E227" s="269"/>
      <c r="F227" s="254">
        <f>VLOOKUP(A227,'OPEB Amounts_Report'!$A$10:$A$324,1,FALSE)</f>
        <v>10032</v>
      </c>
      <c r="G227" s="116"/>
      <c r="H227" s="117"/>
    </row>
    <row r="228" spans="1:8">
      <c r="A228" s="195">
        <v>32107</v>
      </c>
      <c r="B228" s="196" t="s">
        <v>215</v>
      </c>
      <c r="C228" s="199">
        <f t="shared" si="6"/>
        <v>42219</v>
      </c>
      <c r="D228" s="201">
        <f t="shared" si="7"/>
        <v>3.6858823633868288E-4</v>
      </c>
      <c r="E228" s="269"/>
      <c r="F228" s="254">
        <f>VLOOKUP(A228,'OPEB Amounts_Report'!$A$10:$A$324,1,FALSE)</f>
        <v>32107</v>
      </c>
      <c r="G228" s="116"/>
      <c r="H228" s="117"/>
    </row>
    <row r="229" spans="1:8">
      <c r="A229" s="193">
        <v>3260</v>
      </c>
      <c r="B229" s="194" t="s">
        <v>216</v>
      </c>
      <c r="C229" s="198">
        <f t="shared" si="6"/>
        <v>612811</v>
      </c>
      <c r="D229" s="200">
        <f t="shared" si="7"/>
        <v>5.350077588264634E-3</v>
      </c>
      <c r="E229" s="269"/>
      <c r="F229" s="254">
        <f>VLOOKUP(A229,'OPEB Amounts_Report'!$A$10:$A$324,1,FALSE)</f>
        <v>3260</v>
      </c>
      <c r="G229" s="116"/>
      <c r="H229" s="117"/>
    </row>
    <row r="230" spans="1:8">
      <c r="A230" s="195">
        <v>4390</v>
      </c>
      <c r="B230" s="196" t="s">
        <v>217</v>
      </c>
      <c r="C230" s="199">
        <f t="shared" si="6"/>
        <v>5107</v>
      </c>
      <c r="D230" s="201">
        <f t="shared" si="7"/>
        <v>4.4586089745888187E-5</v>
      </c>
      <c r="E230" s="269"/>
      <c r="F230" s="254">
        <f>VLOOKUP(A230,'OPEB Amounts_Report'!$A$10:$A$324,1,FALSE)</f>
        <v>4390</v>
      </c>
      <c r="G230" s="116"/>
      <c r="H230" s="117"/>
    </row>
    <row r="231" spans="1:8">
      <c r="A231" s="193">
        <v>3270</v>
      </c>
      <c r="B231" s="194" t="s">
        <v>218</v>
      </c>
      <c r="C231" s="198">
        <f t="shared" si="6"/>
        <v>101735</v>
      </c>
      <c r="D231" s="200">
        <f t="shared" si="7"/>
        <v>8.8818598791813878E-4</v>
      </c>
      <c r="E231" s="269"/>
      <c r="F231" s="254">
        <f>VLOOKUP(A231,'OPEB Amounts_Report'!$A$10:$A$324,1,FALSE)</f>
        <v>3270</v>
      </c>
      <c r="G231" s="116"/>
      <c r="H231" s="117"/>
    </row>
    <row r="232" spans="1:8">
      <c r="A232" s="195">
        <v>29303</v>
      </c>
      <c r="B232" s="196" t="s">
        <v>219</v>
      </c>
      <c r="C232" s="199">
        <f t="shared" si="6"/>
        <v>32380</v>
      </c>
      <c r="D232" s="201">
        <f t="shared" si="7"/>
        <v>2.8268995221692958E-4</v>
      </c>
      <c r="E232" s="269"/>
      <c r="F232" s="254">
        <f>VLOOKUP(A232,'OPEB Amounts_Report'!$A$10:$A$324,1,FALSE)</f>
        <v>29303</v>
      </c>
      <c r="G232" s="116"/>
      <c r="H232" s="117"/>
    </row>
    <row r="233" spans="1:8">
      <c r="A233" s="193">
        <v>3280</v>
      </c>
      <c r="B233" s="194" t="s">
        <v>423</v>
      </c>
      <c r="C233" s="198">
        <f t="shared" si="6"/>
        <v>451384</v>
      </c>
      <c r="D233" s="200">
        <f t="shared" si="7"/>
        <v>3.9407573005400421E-3</v>
      </c>
      <c r="E233" s="269"/>
      <c r="F233" s="254">
        <f>VLOOKUP(A233,'OPEB Amounts_Report'!$A$10:$A$324,1,FALSE)</f>
        <v>3280</v>
      </c>
      <c r="G233" s="116"/>
      <c r="H233" s="117"/>
    </row>
    <row r="234" spans="1:8">
      <c r="A234" s="195">
        <v>4260</v>
      </c>
      <c r="B234" s="196" t="s">
        <v>221</v>
      </c>
      <c r="C234" s="199">
        <f t="shared" si="6"/>
        <v>34671</v>
      </c>
      <c r="D234" s="201">
        <f t="shared" si="7"/>
        <v>3.0269127033085753E-4</v>
      </c>
      <c r="E234" s="269"/>
      <c r="F234" s="254">
        <f>VLOOKUP(A234,'OPEB Amounts_Report'!$A$10:$A$324,1,FALSE)</f>
        <v>4260</v>
      </c>
      <c r="G234" s="116"/>
      <c r="H234" s="117"/>
    </row>
    <row r="235" spans="1:8">
      <c r="A235" s="193">
        <v>1003</v>
      </c>
      <c r="B235" s="194" t="s">
        <v>222</v>
      </c>
      <c r="C235" s="198">
        <f t="shared" si="6"/>
        <v>500060</v>
      </c>
      <c r="D235" s="200">
        <f t="shared" si="7"/>
        <v>4.365717649956696E-3</v>
      </c>
      <c r="E235" s="269"/>
      <c r="F235" s="254">
        <f>VLOOKUP(A235,'OPEB Amounts_Report'!$A$10:$A$324,1,FALSE)</f>
        <v>1003</v>
      </c>
      <c r="G235" s="116"/>
      <c r="H235" s="117"/>
    </row>
    <row r="236" spans="1:8">
      <c r="A236" s="195">
        <v>3290</v>
      </c>
      <c r="B236" s="196" t="s">
        <v>223</v>
      </c>
      <c r="C236" s="199">
        <f t="shared" si="6"/>
        <v>937521</v>
      </c>
      <c r="D236" s="201">
        <f t="shared" si="7"/>
        <v>8.1849217631985195E-3</v>
      </c>
      <c r="E236" s="269"/>
      <c r="F236" s="254">
        <f>VLOOKUP(A236,'OPEB Amounts_Report'!$A$10:$A$324,1,FALSE)</f>
        <v>3290</v>
      </c>
      <c r="G236" s="116"/>
      <c r="H236" s="117"/>
    </row>
    <row r="237" spans="1:8">
      <c r="A237" s="193">
        <v>1002</v>
      </c>
      <c r="B237" s="194" t="s">
        <v>224</v>
      </c>
      <c r="C237" s="198">
        <f t="shared" si="6"/>
        <v>1933468</v>
      </c>
      <c r="D237" s="200">
        <f t="shared" si="7"/>
        <v>1.6879925155434294E-2</v>
      </c>
      <c r="E237" s="269"/>
      <c r="F237" s="254">
        <f>VLOOKUP(A237,'OPEB Amounts_Report'!$A$10:$A$324,1,FALSE)</f>
        <v>1002</v>
      </c>
      <c r="G237" s="116"/>
      <c r="H237" s="117"/>
    </row>
    <row r="238" spans="1:8">
      <c r="A238" s="195">
        <v>4270</v>
      </c>
      <c r="B238" s="196" t="s">
        <v>424</v>
      </c>
      <c r="C238" s="199">
        <f t="shared" si="6"/>
        <v>38336</v>
      </c>
      <c r="D238" s="201">
        <f t="shared" si="7"/>
        <v>3.3468814108055011E-4</v>
      </c>
      <c r="E238" s="269"/>
      <c r="F238" s="254">
        <f>VLOOKUP(A238,'OPEB Amounts_Report'!$A$10:$A$324,1,FALSE)</f>
        <v>4270</v>
      </c>
      <c r="G238" s="116"/>
      <c r="H238" s="117"/>
    </row>
    <row r="239" spans="1:8">
      <c r="A239" s="193">
        <v>24072</v>
      </c>
      <c r="B239" s="194" t="s">
        <v>225</v>
      </c>
      <c r="C239" s="198">
        <f t="shared" si="6"/>
        <v>141975</v>
      </c>
      <c r="D239" s="200">
        <f t="shared" si="7"/>
        <v>1.2394967870907529E-3</v>
      </c>
      <c r="E239" s="269"/>
      <c r="F239" s="254">
        <f>VLOOKUP(A239,'OPEB Amounts_Report'!$A$10:$A$324,1,FALSE)</f>
        <v>24072</v>
      </c>
      <c r="G239" s="116"/>
      <c r="H239" s="117"/>
    </row>
    <row r="240" spans="1:8">
      <c r="A240" s="195">
        <v>14366</v>
      </c>
      <c r="B240" s="196" t="s">
        <v>226</v>
      </c>
      <c r="C240" s="199">
        <f t="shared" si="6"/>
        <v>94490</v>
      </c>
      <c r="D240" s="201">
        <f t="shared" si="7"/>
        <v>8.2493432936929208E-4</v>
      </c>
      <c r="E240" s="269"/>
      <c r="F240" s="254">
        <f>VLOOKUP(A240,'OPEB Amounts_Report'!$A$10:$A$324,1,FALSE)</f>
        <v>14366</v>
      </c>
      <c r="G240" s="116"/>
      <c r="H240" s="117"/>
    </row>
    <row r="241" spans="1:8">
      <c r="A241" s="193">
        <v>4317</v>
      </c>
      <c r="B241" s="194" t="s">
        <v>227</v>
      </c>
      <c r="C241" s="198">
        <f t="shared" si="6"/>
        <v>25153</v>
      </c>
      <c r="D241" s="200">
        <f t="shared" si="7"/>
        <v>2.1959544064584403E-4</v>
      </c>
      <c r="E241" s="269"/>
      <c r="F241" s="254">
        <f>VLOOKUP(A241,'OPEB Amounts_Report'!$A$10:$A$324,1,FALSE)</f>
        <v>4317</v>
      </c>
      <c r="G241" s="116"/>
      <c r="H241" s="117"/>
    </row>
    <row r="242" spans="1:8">
      <c r="A242" s="195">
        <v>32120</v>
      </c>
      <c r="B242" s="196" t="s">
        <v>228</v>
      </c>
      <c r="C242" s="199">
        <f t="shared" si="6"/>
        <v>35790</v>
      </c>
      <c r="D242" s="201">
        <f t="shared" si="7"/>
        <v>3.1246057411500648E-4</v>
      </c>
      <c r="E242" s="269"/>
      <c r="F242" s="254">
        <f>VLOOKUP(A242,'OPEB Amounts_Report'!$A$10:$A$324,1,FALSE)</f>
        <v>32120</v>
      </c>
      <c r="G242" s="116"/>
      <c r="H242" s="117"/>
    </row>
    <row r="243" spans="1:8">
      <c r="A243" s="193">
        <v>3300</v>
      </c>
      <c r="B243" s="194" t="s">
        <v>425</v>
      </c>
      <c r="C243" s="198">
        <f t="shared" si="6"/>
        <v>67030</v>
      </c>
      <c r="D243" s="200">
        <f t="shared" si="7"/>
        <v>5.8519788440706579E-4</v>
      </c>
      <c r="E243" s="269"/>
      <c r="F243" s="254">
        <f>VLOOKUP(A243,'OPEB Amounts_Report'!$A$10:$A$324,1,FALSE)</f>
        <v>3300</v>
      </c>
      <c r="G243" s="116"/>
      <c r="H243" s="117"/>
    </row>
    <row r="244" spans="1:8">
      <c r="A244" s="195">
        <v>8026</v>
      </c>
      <c r="B244" s="196" t="s">
        <v>230</v>
      </c>
      <c r="C244" s="199">
        <f t="shared" si="6"/>
        <v>384166</v>
      </c>
      <c r="D244" s="201">
        <f t="shared" si="7"/>
        <v>3.3539181032541374E-3</v>
      </c>
      <c r="E244" s="269"/>
      <c r="F244" s="254">
        <f>VLOOKUP(A244,'OPEB Amounts_Report'!$A$10:$A$324,1,FALSE)</f>
        <v>8026</v>
      </c>
      <c r="G244" s="116"/>
      <c r="H244" s="117"/>
    </row>
    <row r="245" spans="1:8">
      <c r="A245" s="193">
        <v>32119</v>
      </c>
      <c r="B245" s="194" t="s">
        <v>231</v>
      </c>
      <c r="C245" s="198">
        <f t="shared" si="6"/>
        <v>15085</v>
      </c>
      <c r="D245" s="200">
        <f t="shared" si="7"/>
        <v>1.3169789775146335E-4</v>
      </c>
      <c r="E245" s="269"/>
      <c r="F245" s="254">
        <f>VLOOKUP(A245,'OPEB Amounts_Report'!$A$10:$A$324,1,FALSE)</f>
        <v>32119</v>
      </c>
      <c r="G245" s="116"/>
      <c r="H245" s="117"/>
    </row>
    <row r="246" spans="1:8">
      <c r="A246" s="195">
        <v>25076</v>
      </c>
      <c r="B246" s="196" t="s">
        <v>232</v>
      </c>
      <c r="C246" s="199">
        <f t="shared" si="6"/>
        <v>244618</v>
      </c>
      <c r="D246" s="201">
        <f t="shared" si="7"/>
        <v>2.1356099669981744E-3</v>
      </c>
      <c r="E246" s="269"/>
      <c r="F246" s="254">
        <f>VLOOKUP(A246,'OPEB Amounts_Report'!$A$10:$A$324,1,FALSE)</f>
        <v>25076</v>
      </c>
      <c r="G246" s="116"/>
      <c r="H246" s="117"/>
    </row>
    <row r="247" spans="1:8">
      <c r="A247" s="193">
        <v>2440</v>
      </c>
      <c r="B247" s="194" t="s">
        <v>401</v>
      </c>
      <c r="C247" s="198">
        <f t="shared" si="6"/>
        <v>38947</v>
      </c>
      <c r="D247" s="200">
        <f t="shared" si="7"/>
        <v>3.4002240793677447E-4</v>
      </c>
      <c r="E247" s="269"/>
      <c r="F247" s="254">
        <f>VLOOKUP(A247,'OPEB Amounts_Report'!$A$10:$A$324,1,FALSE)</f>
        <v>2440</v>
      </c>
      <c r="G247" s="116"/>
      <c r="H247" s="117"/>
    </row>
    <row r="248" spans="1:8">
      <c r="A248" s="195">
        <v>2309</v>
      </c>
      <c r="B248" s="196" t="s">
        <v>233</v>
      </c>
      <c r="C248" s="199">
        <f t="shared" si="6"/>
        <v>99022</v>
      </c>
      <c r="D248" s="201">
        <f t="shared" si="7"/>
        <v>8.6450044621447816E-4</v>
      </c>
      <c r="E248" s="269"/>
      <c r="F248" s="254">
        <f>VLOOKUP(A248,'OPEB Amounts_Report'!$A$10:$A$324,1,FALSE)</f>
        <v>2309</v>
      </c>
      <c r="G248" s="116"/>
      <c r="H248" s="117"/>
    </row>
    <row r="249" spans="1:8">
      <c r="A249" s="193">
        <v>2396</v>
      </c>
      <c r="B249" s="194" t="s">
        <v>234</v>
      </c>
      <c r="C249" s="198">
        <f t="shared" si="6"/>
        <v>30148</v>
      </c>
      <c r="D249" s="200">
        <f t="shared" si="7"/>
        <v>2.63203726974552E-4</v>
      </c>
      <c r="E249" s="269"/>
      <c r="F249" s="254">
        <f>VLOOKUP(A249,'OPEB Amounts_Report'!$A$10:$A$324,1,FALSE)</f>
        <v>2396</v>
      </c>
      <c r="G249" s="116"/>
      <c r="H249" s="117"/>
    </row>
    <row r="250" spans="1:8">
      <c r="A250" s="195">
        <v>3380</v>
      </c>
      <c r="B250" s="196" t="s">
        <v>235</v>
      </c>
      <c r="C250" s="199">
        <f t="shared" si="6"/>
        <v>18467</v>
      </c>
      <c r="D250" s="201">
        <f t="shared" si="7"/>
        <v>1.6122406879524518E-4</v>
      </c>
      <c r="E250" s="269"/>
      <c r="F250" s="254">
        <f>VLOOKUP(A250,'OPEB Amounts_Report'!$A$10:$A$324,1,FALSE)</f>
        <v>3380</v>
      </c>
      <c r="G250" s="116"/>
      <c r="H250" s="117"/>
    </row>
    <row r="251" spans="1:8">
      <c r="A251" s="193">
        <v>2420</v>
      </c>
      <c r="B251" s="194" t="s">
        <v>236</v>
      </c>
      <c r="C251" s="198">
        <f t="shared" si="6"/>
        <v>28841</v>
      </c>
      <c r="D251" s="200">
        <f t="shared" si="7"/>
        <v>2.5179311031156473E-4</v>
      </c>
      <c r="E251" s="269"/>
      <c r="F251" s="254">
        <f>VLOOKUP(A251,'OPEB Amounts_Report'!$A$10:$A$324,1,FALSE)</f>
        <v>2420</v>
      </c>
      <c r="G251" s="116"/>
      <c r="H251" s="117"/>
    </row>
    <row r="252" spans="1:8">
      <c r="A252" s="195">
        <v>2740</v>
      </c>
      <c r="B252" s="196" t="s">
        <v>237</v>
      </c>
      <c r="C252" s="199">
        <f t="shared" si="6"/>
        <v>4714</v>
      </c>
      <c r="D252" s="201">
        <f t="shared" si="7"/>
        <v>4.1155047398103957E-5</v>
      </c>
      <c r="E252" s="269"/>
      <c r="F252" s="254">
        <f>VLOOKUP(A252,'OPEB Amounts_Report'!$A$10:$A$324,1,FALSE)</f>
        <v>2740</v>
      </c>
      <c r="G252" s="116"/>
      <c r="H252" s="117"/>
    </row>
    <row r="253" spans="1:8">
      <c r="A253" s="193">
        <v>2346</v>
      </c>
      <c r="B253" s="194" t="s">
        <v>238</v>
      </c>
      <c r="C253" s="198">
        <f t="shared" si="6"/>
        <v>23929</v>
      </c>
      <c r="D253" s="200">
        <f t="shared" si="7"/>
        <v>2.089094461580886E-4</v>
      </c>
      <c r="E253" s="269"/>
      <c r="F253" s="254">
        <f>VLOOKUP(A253,'OPEB Amounts_Report'!$A$10:$A$324,1,FALSE)</f>
        <v>2346</v>
      </c>
      <c r="G253" s="116"/>
      <c r="H253" s="117"/>
    </row>
    <row r="254" spans="1:8">
      <c r="A254" s="195">
        <v>21150</v>
      </c>
      <c r="B254" s="196" t="s">
        <v>239</v>
      </c>
      <c r="C254" s="199">
        <f t="shared" si="6"/>
        <v>58709</v>
      </c>
      <c r="D254" s="201">
        <f t="shared" si="7"/>
        <v>5.1255232874316615E-4</v>
      </c>
      <c r="E254" s="269"/>
      <c r="F254" s="254">
        <f>VLOOKUP(A254,'OPEB Amounts_Report'!$A$10:$A$324,1,FALSE)</f>
        <v>21150</v>
      </c>
      <c r="G254" s="116"/>
      <c r="H254" s="117"/>
    </row>
    <row r="255" spans="1:8">
      <c r="A255" s="193">
        <v>32098</v>
      </c>
      <c r="B255" s="194" t="s">
        <v>240</v>
      </c>
      <c r="C255" s="198">
        <f t="shared" si="6"/>
        <v>28335</v>
      </c>
      <c r="D255" s="200">
        <f t="shared" si="7"/>
        <v>2.4737553415894687E-4</v>
      </c>
      <c r="E255" s="269"/>
      <c r="F255" s="254">
        <f>VLOOKUP(A255,'OPEB Amounts_Report'!$A$10:$A$324,1,FALSE)</f>
        <v>32098</v>
      </c>
      <c r="G255" s="116"/>
      <c r="H255" s="117"/>
    </row>
    <row r="256" spans="1:8">
      <c r="A256" s="195">
        <v>4520</v>
      </c>
      <c r="B256" s="196" t="s">
        <v>241</v>
      </c>
      <c r="C256" s="199">
        <f t="shared" si="6"/>
        <v>3182</v>
      </c>
      <c r="D256" s="201">
        <f t="shared" si="7"/>
        <v>2.7780093513102842E-5</v>
      </c>
      <c r="E256" s="269"/>
      <c r="F256" s="254">
        <f>VLOOKUP(A256,'OPEB Amounts_Report'!$A$10:$A$324,1,FALSE)</f>
        <v>4520</v>
      </c>
      <c r="G256" s="116"/>
      <c r="H256" s="117"/>
    </row>
    <row r="257" spans="1:8">
      <c r="A257" s="193">
        <v>9030</v>
      </c>
      <c r="B257" s="194" t="s">
        <v>242</v>
      </c>
      <c r="C257" s="198">
        <f t="shared" si="6"/>
        <v>30170</v>
      </c>
      <c r="D257" s="200">
        <f t="shared" si="7"/>
        <v>2.633957955029267E-4</v>
      </c>
      <c r="E257" s="269"/>
      <c r="F257" s="254">
        <f>VLOOKUP(A257,'OPEB Amounts_Report'!$A$10:$A$324,1,FALSE)</f>
        <v>9030</v>
      </c>
      <c r="G257" s="116"/>
      <c r="H257" s="117"/>
    </row>
    <row r="258" spans="1:8">
      <c r="A258" s="195">
        <v>20265</v>
      </c>
      <c r="B258" s="196" t="s">
        <v>243</v>
      </c>
      <c r="C258" s="266">
        <f t="shared" si="6"/>
        <v>44382</v>
      </c>
      <c r="D258" s="201">
        <f t="shared" si="7"/>
        <v>3.8747206483297621E-4</v>
      </c>
      <c r="E258" s="269"/>
      <c r="F258" s="254">
        <f>VLOOKUP(A258,'OPEB Amounts_Report'!$A$10:$A$324,1,FALSE)</f>
        <v>20265</v>
      </c>
      <c r="G258" s="116"/>
      <c r="H258" s="117"/>
    </row>
    <row r="259" spans="1:8">
      <c r="A259" s="193">
        <v>20307</v>
      </c>
      <c r="B259" s="194" t="s">
        <v>244</v>
      </c>
      <c r="C259" s="198">
        <f t="shared" si="6"/>
        <v>36230</v>
      </c>
      <c r="D259" s="200">
        <f t="shared" si="7"/>
        <v>3.1630194468250031E-4</v>
      </c>
      <c r="E259" s="269"/>
      <c r="F259" s="254">
        <f>VLOOKUP(A259,'OPEB Amounts_Report'!$A$10:$A$324,1,FALSE)</f>
        <v>20307</v>
      </c>
      <c r="G259" s="116"/>
      <c r="H259" s="117"/>
    </row>
    <row r="260" spans="1:8">
      <c r="A260" s="195">
        <v>3320</v>
      </c>
      <c r="B260" s="196" t="s">
        <v>245</v>
      </c>
      <c r="C260" s="199">
        <f t="shared" si="6"/>
        <v>200086</v>
      </c>
      <c r="D260" s="201">
        <f t="shared" si="7"/>
        <v>1.7468283440171888E-3</v>
      </c>
      <c r="E260" s="269"/>
      <c r="F260" s="254">
        <f>VLOOKUP(A260,'OPEB Amounts_Report'!$A$10:$A$324,1,FALSE)</f>
        <v>3320</v>
      </c>
      <c r="G260" s="116"/>
      <c r="H260" s="117"/>
    </row>
    <row r="261" spans="1:8">
      <c r="A261" s="193">
        <v>20415</v>
      </c>
      <c r="B261" s="194" t="s">
        <v>246</v>
      </c>
      <c r="C261" s="198">
        <f t="shared" si="6"/>
        <v>28341</v>
      </c>
      <c r="D261" s="200">
        <f t="shared" si="7"/>
        <v>2.4742791648486726E-4</v>
      </c>
      <c r="E261" s="269"/>
      <c r="F261" s="254">
        <f>VLOOKUP(A261,'OPEB Amounts_Report'!$A$10:$A$324,1,FALSE)</f>
        <v>20415</v>
      </c>
      <c r="G261" s="116"/>
      <c r="H261" s="117"/>
    </row>
    <row r="262" spans="1:8">
      <c r="A262" s="195">
        <v>20435</v>
      </c>
      <c r="B262" s="196" t="s">
        <v>418</v>
      </c>
      <c r="C262" s="199">
        <f t="shared" si="6"/>
        <v>36921</v>
      </c>
      <c r="D262" s="201">
        <f t="shared" si="7"/>
        <v>3.2233464255099621E-4</v>
      </c>
      <c r="E262" s="269"/>
      <c r="F262" s="254">
        <f>VLOOKUP(A262,'OPEB Amounts_Report'!$A$10:$A$324,1,FALSE)</f>
        <v>20435</v>
      </c>
      <c r="G262" s="116"/>
      <c r="H262" s="117"/>
    </row>
    <row r="263" spans="1:8">
      <c r="A263" s="193">
        <v>20062</v>
      </c>
      <c r="B263" s="194" t="s">
        <v>247</v>
      </c>
      <c r="C263" s="198">
        <f t="shared" si="6"/>
        <v>334803</v>
      </c>
      <c r="D263" s="200">
        <f t="shared" si="7"/>
        <v>2.922959977519601E-3</v>
      </c>
      <c r="E263" s="269"/>
      <c r="F263" s="254">
        <f>VLOOKUP(A263,'OPEB Amounts_Report'!$A$10:$A$324,1,FALSE)</f>
        <v>20062</v>
      </c>
      <c r="G263" s="116"/>
      <c r="H263" s="117"/>
    </row>
    <row r="264" spans="1:8">
      <c r="A264" s="195">
        <v>6020</v>
      </c>
      <c r="B264" s="196" t="s">
        <v>248</v>
      </c>
      <c r="C264" s="199">
        <f t="shared" si="6"/>
        <v>67142</v>
      </c>
      <c r="D264" s="201">
        <f t="shared" si="7"/>
        <v>5.861756878242461E-4</v>
      </c>
      <c r="E264" s="269"/>
      <c r="F264" s="254">
        <f>VLOOKUP(A264,'OPEB Amounts_Report'!$A$10:$A$324,1,FALSE)</f>
        <v>6020</v>
      </c>
      <c r="G264" s="116"/>
      <c r="H264" s="117"/>
    </row>
    <row r="265" spans="1:8">
      <c r="A265" s="193">
        <v>2394</v>
      </c>
      <c r="B265" s="194" t="s">
        <v>249</v>
      </c>
      <c r="C265" s="198">
        <f t="shared" si="6"/>
        <v>38000</v>
      </c>
      <c r="D265" s="200">
        <f t="shared" si="7"/>
        <v>3.3175473082900942E-4</v>
      </c>
      <c r="E265" s="269"/>
      <c r="F265" s="254">
        <f>VLOOKUP(A265,'OPEB Amounts_Report'!$A$10:$A$324,1,FALSE)</f>
        <v>2394</v>
      </c>
      <c r="G265" s="116"/>
      <c r="H265" s="117"/>
    </row>
    <row r="266" spans="1:8">
      <c r="A266" s="195">
        <v>5015</v>
      </c>
      <c r="B266" s="196" t="s">
        <v>250</v>
      </c>
      <c r="C266" s="199">
        <f t="shared" si="6"/>
        <v>90154</v>
      </c>
      <c r="D266" s="201">
        <f t="shared" si="7"/>
        <v>7.870793685041714E-4</v>
      </c>
      <c r="E266" s="269"/>
      <c r="F266" s="254">
        <f>VLOOKUP(A266,'OPEB Amounts_Report'!$A$10:$A$324,1,FALSE)</f>
        <v>5015</v>
      </c>
      <c r="G266" s="116"/>
      <c r="H266" s="117"/>
    </row>
    <row r="267" spans="1:8">
      <c r="A267" s="193">
        <v>29408</v>
      </c>
      <c r="B267" s="194" t="s">
        <v>251</v>
      </c>
      <c r="C267" s="198">
        <f t="shared" ref="C267:C312" si="8">+VLOOKUP(A267,$D$319:$F$624,3,FALSE)</f>
        <v>63831</v>
      </c>
      <c r="D267" s="200">
        <f t="shared" ref="D267:D312" si="9">+C267/$C$314</f>
        <v>5.5726937430385527E-4</v>
      </c>
      <c r="E267" s="269"/>
      <c r="F267" s="254">
        <f>VLOOKUP(A267,'OPEB Amounts_Report'!$A$10:$A$324,1,FALSE)</f>
        <v>29408</v>
      </c>
      <c r="G267" s="116"/>
      <c r="H267" s="117"/>
    </row>
    <row r="268" spans="1:8">
      <c r="A268" s="195">
        <v>2413</v>
      </c>
      <c r="B268" s="196" t="s">
        <v>252</v>
      </c>
      <c r="C268" s="199">
        <f t="shared" si="8"/>
        <v>16618</v>
      </c>
      <c r="D268" s="201">
        <f t="shared" si="9"/>
        <v>1.4508158202411784E-4</v>
      </c>
      <c r="E268" s="269"/>
      <c r="F268" s="254">
        <f>VLOOKUP(A268,'OPEB Amounts_Report'!$A$10:$A$324,1,FALSE)</f>
        <v>2413</v>
      </c>
      <c r="G268" s="116"/>
      <c r="H268" s="117"/>
    </row>
    <row r="269" spans="1:8">
      <c r="A269" s="193">
        <v>1398</v>
      </c>
      <c r="B269" s="194" t="s">
        <v>253</v>
      </c>
      <c r="C269" s="198">
        <f t="shared" si="8"/>
        <v>32006</v>
      </c>
      <c r="D269" s="200">
        <f t="shared" si="9"/>
        <v>2.7942478723455989E-4</v>
      </c>
      <c r="E269" s="269"/>
      <c r="F269" s="254">
        <f>VLOOKUP(A269,'OPEB Amounts_Report'!$A$10:$A$324,1,FALSE)</f>
        <v>1398</v>
      </c>
      <c r="G269" s="116"/>
      <c r="H269" s="117"/>
    </row>
    <row r="270" spans="1:8">
      <c r="A270" s="195">
        <v>2366</v>
      </c>
      <c r="B270" s="196" t="s">
        <v>254</v>
      </c>
      <c r="C270" s="199">
        <f t="shared" si="8"/>
        <v>26492</v>
      </c>
      <c r="D270" s="201">
        <f t="shared" si="9"/>
        <v>2.3128542971373993E-4</v>
      </c>
      <c r="E270" s="269"/>
      <c r="F270" s="254">
        <f>VLOOKUP(A270,'OPEB Amounts_Report'!$A$10:$A$324,1,FALSE)</f>
        <v>2366</v>
      </c>
      <c r="G270" s="116"/>
      <c r="H270" s="117"/>
    </row>
    <row r="271" spans="1:8">
      <c r="A271" s="193">
        <v>7421</v>
      </c>
      <c r="B271" s="194" t="s">
        <v>255</v>
      </c>
      <c r="C271" s="198">
        <f t="shared" si="8"/>
        <v>21814</v>
      </c>
      <c r="D271" s="200">
        <f t="shared" si="9"/>
        <v>1.9044467627115819E-4</v>
      </c>
      <c r="E271" s="269"/>
      <c r="F271" s="254">
        <f>VLOOKUP(A271,'OPEB Amounts_Report'!$A$10:$A$324,1,FALSE)</f>
        <v>7421</v>
      </c>
      <c r="G271" s="116"/>
      <c r="H271" s="117"/>
    </row>
    <row r="272" spans="1:8">
      <c r="A272" s="195">
        <v>1425</v>
      </c>
      <c r="B272" s="196" t="s">
        <v>445</v>
      </c>
      <c r="C272" s="199">
        <f t="shared" si="8"/>
        <v>19232</v>
      </c>
      <c r="D272" s="201">
        <f t="shared" si="9"/>
        <v>1.6790281535009234E-4</v>
      </c>
      <c r="E272" s="269"/>
      <c r="F272" s="254">
        <f>VLOOKUP(A272,'OPEB Amounts_Report'!$A$10:$A$324,1,FALSE)</f>
        <v>1425</v>
      </c>
      <c r="G272" s="116"/>
      <c r="H272" s="117"/>
    </row>
    <row r="273" spans="1:8">
      <c r="A273" s="193">
        <v>2370</v>
      </c>
      <c r="B273" s="194" t="s">
        <v>256</v>
      </c>
      <c r="C273" s="198">
        <f t="shared" si="8"/>
        <v>37217</v>
      </c>
      <c r="D273" s="200">
        <f t="shared" si="9"/>
        <v>3.2491883729640115E-4</v>
      </c>
      <c r="E273" s="269"/>
      <c r="F273" s="254">
        <f>VLOOKUP(A273,'OPEB Amounts_Report'!$A$10:$A$324,1,FALSE)</f>
        <v>2370</v>
      </c>
      <c r="G273" s="116"/>
      <c r="H273" s="117"/>
    </row>
    <row r="274" spans="1:8">
      <c r="A274" s="195">
        <v>32094</v>
      </c>
      <c r="B274" s="223" t="s">
        <v>257</v>
      </c>
      <c r="C274" s="265">
        <f t="shared" si="8"/>
        <v>49921</v>
      </c>
      <c r="D274" s="224">
        <f t="shared" si="9"/>
        <v>4.3582968204513103E-4</v>
      </c>
      <c r="E274" s="269"/>
      <c r="F274" s="254">
        <f>VLOOKUP(A274,'OPEB Amounts_Report'!$A$10:$A$324,1,FALSE)</f>
        <v>32094</v>
      </c>
      <c r="G274" s="116"/>
      <c r="H274" s="117"/>
    </row>
    <row r="275" spans="1:8">
      <c r="A275" s="193">
        <v>2790</v>
      </c>
      <c r="B275" s="194" t="s">
        <v>258</v>
      </c>
      <c r="C275" s="198">
        <f t="shared" si="8"/>
        <v>4682</v>
      </c>
      <c r="D275" s="200">
        <f t="shared" si="9"/>
        <v>4.0875674993195321E-5</v>
      </c>
      <c r="E275" s="269"/>
      <c r="F275" s="254">
        <f>VLOOKUP(A275,'OPEB Amounts_Report'!$A$10:$A$324,1,FALSE)</f>
        <v>2790</v>
      </c>
      <c r="G275" s="116"/>
      <c r="H275" s="117"/>
    </row>
    <row r="276" spans="1:8">
      <c r="A276" s="195">
        <v>3330</v>
      </c>
      <c r="B276" s="196" t="s">
        <v>259</v>
      </c>
      <c r="C276" s="199">
        <f t="shared" si="8"/>
        <v>97742</v>
      </c>
      <c r="D276" s="201">
        <f t="shared" si="9"/>
        <v>8.5332555001813254E-4</v>
      </c>
      <c r="E276" s="269"/>
      <c r="F276" s="254">
        <f>VLOOKUP(A276,'OPEB Amounts_Report'!$A$10:$A$324,1,FALSE)</f>
        <v>3330</v>
      </c>
      <c r="G276" s="116"/>
      <c r="H276" s="117"/>
    </row>
    <row r="277" spans="1:8">
      <c r="A277" s="193">
        <v>2080</v>
      </c>
      <c r="B277" s="194" t="s">
        <v>260</v>
      </c>
      <c r="C277" s="198">
        <f t="shared" si="8"/>
        <v>106807</v>
      </c>
      <c r="D277" s="200">
        <f t="shared" si="9"/>
        <v>9.3246651409615807E-4</v>
      </c>
      <c r="E277" s="269"/>
      <c r="F277" s="254">
        <f>VLOOKUP(A277,'OPEB Amounts_Report'!$A$10:$A$324,1,FALSE)</f>
        <v>2080</v>
      </c>
      <c r="G277" s="116"/>
      <c r="H277" s="117"/>
    </row>
    <row r="278" spans="1:8">
      <c r="A278" s="195">
        <v>4290</v>
      </c>
      <c r="B278" s="196" t="s">
        <v>261</v>
      </c>
      <c r="C278" s="199">
        <f t="shared" si="8"/>
        <v>47676</v>
      </c>
      <c r="D278" s="201">
        <f t="shared" si="9"/>
        <v>4.1622996176325926E-4</v>
      </c>
      <c r="E278" s="269"/>
      <c r="F278" s="254">
        <f>VLOOKUP(A278,'OPEB Amounts_Report'!$A$10:$A$324,1,FALSE)</f>
        <v>4290</v>
      </c>
      <c r="G278" s="116"/>
      <c r="H278" s="117"/>
    </row>
    <row r="279" spans="1:8">
      <c r="A279" s="193">
        <v>2270</v>
      </c>
      <c r="B279" s="194" t="s">
        <v>262</v>
      </c>
      <c r="C279" s="198">
        <f t="shared" si="8"/>
        <v>1926</v>
      </c>
      <c r="D279" s="200">
        <f t="shared" si="9"/>
        <v>1.681472662043874E-5</v>
      </c>
      <c r="E279" s="269"/>
      <c r="F279" s="254">
        <f>VLOOKUP(A279,'OPEB Amounts_Report'!$A$10:$A$324,1,FALSE)</f>
        <v>2270</v>
      </c>
      <c r="G279" s="116"/>
      <c r="H279" s="117"/>
    </row>
    <row r="280" spans="1:8">
      <c r="A280" s="195">
        <v>2300</v>
      </c>
      <c r="B280" s="196" t="s">
        <v>263</v>
      </c>
      <c r="C280" s="199">
        <f t="shared" si="8"/>
        <v>13416</v>
      </c>
      <c r="D280" s="201">
        <f t="shared" si="9"/>
        <v>1.1712688075794711E-4</v>
      </c>
      <c r="E280" s="269"/>
      <c r="F280" s="254">
        <f>VLOOKUP(A280,'OPEB Amounts_Report'!$A$10:$A$324,1,FALSE)</f>
        <v>2300</v>
      </c>
      <c r="G280" s="116"/>
      <c r="H280" s="117"/>
    </row>
    <row r="281" spans="1:8">
      <c r="A281" s="193">
        <v>2720</v>
      </c>
      <c r="B281" s="194" t="s">
        <v>264</v>
      </c>
      <c r="C281" s="198">
        <f t="shared" si="8"/>
        <v>155179</v>
      </c>
      <c r="D281" s="200">
        <f t="shared" si="9"/>
        <v>1.3547728256661804E-3</v>
      </c>
      <c r="E281" s="269"/>
      <c r="F281" s="254">
        <f>VLOOKUP(A281,'OPEB Amounts_Report'!$A$10:$A$324,1,FALSE)</f>
        <v>2720</v>
      </c>
      <c r="G281" s="116"/>
      <c r="H281" s="117"/>
    </row>
    <row r="282" spans="1:8">
      <c r="A282" s="195">
        <v>2750</v>
      </c>
      <c r="B282" s="196" t="s">
        <v>265</v>
      </c>
      <c r="C282" s="199">
        <f t="shared" si="8"/>
        <v>11637</v>
      </c>
      <c r="D282" s="201">
        <f t="shared" si="9"/>
        <v>1.0159552112255744E-4</v>
      </c>
      <c r="E282" s="269"/>
      <c r="F282" s="254">
        <f>VLOOKUP(A282,'OPEB Amounts_Report'!$A$10:$A$324,1,FALSE)</f>
        <v>2750</v>
      </c>
      <c r="G282" s="116"/>
      <c r="H282" s="117"/>
    </row>
    <row r="283" spans="1:8">
      <c r="A283" s="193">
        <v>2770</v>
      </c>
      <c r="B283" s="194" t="s">
        <v>266</v>
      </c>
      <c r="C283" s="198">
        <f t="shared" si="8"/>
        <v>130067</v>
      </c>
      <c r="D283" s="200">
        <f t="shared" si="9"/>
        <v>1.1355353309141255E-3</v>
      </c>
      <c r="E283" s="269"/>
      <c r="F283" s="254">
        <f>VLOOKUP(A283,'OPEB Amounts_Report'!$A$10:$A$324,1,FALSE)</f>
        <v>2770</v>
      </c>
      <c r="G283" s="116"/>
      <c r="H283" s="117"/>
    </row>
    <row r="284" spans="1:8">
      <c r="A284" s="195">
        <v>32106</v>
      </c>
      <c r="B284" s="196" t="s">
        <v>267</v>
      </c>
      <c r="C284" s="199">
        <f t="shared" si="8"/>
        <v>12065</v>
      </c>
      <c r="D284" s="201">
        <f t="shared" si="9"/>
        <v>1.0533212703821049E-4</v>
      </c>
      <c r="E284" s="269"/>
      <c r="F284" s="254">
        <f>VLOOKUP(A284,'OPEB Amounts_Report'!$A$10:$A$324,1,FALSE)</f>
        <v>32106</v>
      </c>
      <c r="G284" s="116"/>
      <c r="H284" s="117"/>
    </row>
    <row r="285" spans="1:8">
      <c r="A285" s="193">
        <v>4180</v>
      </c>
      <c r="B285" s="194" t="s">
        <v>268</v>
      </c>
      <c r="C285" s="198">
        <f t="shared" si="8"/>
        <v>14817</v>
      </c>
      <c r="D285" s="200">
        <f t="shared" si="9"/>
        <v>1.2935815386035348E-4</v>
      </c>
      <c r="E285" s="269"/>
      <c r="F285" s="254">
        <f>VLOOKUP(A285,'OPEB Amounts_Report'!$A$10:$A$324,1,FALSE)</f>
        <v>4180</v>
      </c>
      <c r="G285" s="116"/>
      <c r="H285" s="117"/>
    </row>
    <row r="286" spans="1:8">
      <c r="A286" s="195">
        <v>21063</v>
      </c>
      <c r="B286" s="196" t="s">
        <v>269</v>
      </c>
      <c r="C286" s="199">
        <f t="shared" si="8"/>
        <v>210631</v>
      </c>
      <c r="D286" s="201">
        <f t="shared" si="9"/>
        <v>1.8388902818222391E-3</v>
      </c>
      <c r="E286" s="269"/>
      <c r="F286" s="254">
        <f>VLOOKUP(A286,'OPEB Amounts_Report'!$A$10:$A$324,1,FALSE)</f>
        <v>21063</v>
      </c>
      <c r="G286" s="116"/>
      <c r="H286" s="117"/>
    </row>
    <row r="287" spans="1:8">
      <c r="A287" s="193">
        <v>10033</v>
      </c>
      <c r="B287" s="194" t="s">
        <v>270</v>
      </c>
      <c r="C287" s="198">
        <f t="shared" si="8"/>
        <v>152929</v>
      </c>
      <c r="D287" s="200">
        <f t="shared" si="9"/>
        <v>1.3351294534460416E-3</v>
      </c>
      <c r="E287" s="269"/>
      <c r="F287" s="254">
        <f>VLOOKUP(A287,'OPEB Amounts_Report'!$A$10:$A$324,1,FALSE)</f>
        <v>10033</v>
      </c>
      <c r="G287" s="116"/>
      <c r="H287" s="117"/>
    </row>
    <row r="288" spans="1:8">
      <c r="A288" s="195">
        <v>15049</v>
      </c>
      <c r="B288" s="196" t="s">
        <v>271</v>
      </c>
      <c r="C288" s="199">
        <f t="shared" si="8"/>
        <v>171296</v>
      </c>
      <c r="D288" s="201">
        <f t="shared" si="9"/>
        <v>1.4954804834759472E-3</v>
      </c>
      <c r="E288" s="269"/>
      <c r="F288" s="254">
        <f>VLOOKUP(A288,'OPEB Amounts_Report'!$A$10:$A$324,1,FALSE)</f>
        <v>15049</v>
      </c>
      <c r="G288" s="116"/>
      <c r="H288" s="117"/>
    </row>
    <row r="289" spans="1:8">
      <c r="A289" s="193">
        <v>1315</v>
      </c>
      <c r="B289" s="194" t="s">
        <v>272</v>
      </c>
      <c r="C289" s="198">
        <f t="shared" si="8"/>
        <v>102978</v>
      </c>
      <c r="D289" s="200">
        <f t="shared" si="9"/>
        <v>8.9903785977130872E-4</v>
      </c>
      <c r="E289" s="269"/>
      <c r="F289" s="254">
        <f>VLOOKUP(A289,'OPEB Amounts_Report'!$A$10:$A$324,1,FALSE)</f>
        <v>1315</v>
      </c>
      <c r="G289" s="116"/>
      <c r="H289" s="117"/>
    </row>
    <row r="290" spans="1:8">
      <c r="A290" s="195">
        <v>3340</v>
      </c>
      <c r="B290" s="196" t="s">
        <v>273</v>
      </c>
      <c r="C290" s="199">
        <f t="shared" si="8"/>
        <v>33016</v>
      </c>
      <c r="D290" s="201">
        <f t="shared" si="9"/>
        <v>2.882424787644888E-4</v>
      </c>
      <c r="E290" s="269"/>
      <c r="F290" s="254">
        <f>VLOOKUP(A290,'OPEB Amounts_Report'!$A$10:$A$324,1,FALSE)</f>
        <v>3340</v>
      </c>
      <c r="G290" s="116"/>
      <c r="H290" s="117"/>
    </row>
    <row r="291" spans="1:8">
      <c r="A291" s="193">
        <v>3350</v>
      </c>
      <c r="B291" s="194" t="s">
        <v>274</v>
      </c>
      <c r="C291" s="198">
        <f t="shared" si="8"/>
        <v>229917</v>
      </c>
      <c r="D291" s="200">
        <f t="shared" si="9"/>
        <v>2.0072645381056147E-3</v>
      </c>
      <c r="E291" s="269"/>
      <c r="F291" s="254">
        <f>VLOOKUP(A291,'OPEB Amounts_Report'!$A$10:$A$324,1,FALSE)</f>
        <v>3350</v>
      </c>
      <c r="G291" s="116"/>
      <c r="H291" s="117"/>
    </row>
    <row r="292" spans="1:8">
      <c r="A292" s="195">
        <v>24073</v>
      </c>
      <c r="B292" s="196" t="s">
        <v>275</v>
      </c>
      <c r="C292" s="199">
        <f t="shared" si="8"/>
        <v>28054</v>
      </c>
      <c r="D292" s="201">
        <f t="shared" si="9"/>
        <v>2.4492229522834292E-4</v>
      </c>
      <c r="E292" s="269"/>
      <c r="F292" s="254">
        <f>VLOOKUP(A292,'OPEB Amounts_Report'!$A$10:$A$324,1,FALSE)</f>
        <v>24073</v>
      </c>
      <c r="G292" s="116"/>
      <c r="H292" s="117"/>
    </row>
    <row r="293" spans="1:8">
      <c r="A293" s="193">
        <v>2100</v>
      </c>
      <c r="B293" s="194" t="s">
        <v>276</v>
      </c>
      <c r="C293" s="198">
        <f t="shared" si="8"/>
        <v>29722</v>
      </c>
      <c r="D293" s="200">
        <f t="shared" si="9"/>
        <v>2.5948458183420575E-4</v>
      </c>
      <c r="E293" s="269"/>
      <c r="F293" s="254">
        <f>VLOOKUP(A293,'OPEB Amounts_Report'!$A$10:$A$324,1,FALSE)</f>
        <v>2100</v>
      </c>
      <c r="G293" s="116"/>
      <c r="H293" s="117"/>
    </row>
    <row r="294" spans="1:8">
      <c r="A294" s="195">
        <v>2130</v>
      </c>
      <c r="B294" s="196" t="s">
        <v>277</v>
      </c>
      <c r="C294" s="199">
        <f t="shared" si="8"/>
        <v>7569</v>
      </c>
      <c r="D294" s="201">
        <f t="shared" si="9"/>
        <v>6.6080304148546644E-5</v>
      </c>
      <c r="E294" s="269"/>
      <c r="F294" s="254">
        <f>VLOOKUP(A294,'OPEB Amounts_Report'!$A$10:$A$324,1,FALSE)</f>
        <v>2130</v>
      </c>
      <c r="G294" s="116"/>
      <c r="H294" s="117"/>
    </row>
    <row r="295" spans="1:8">
      <c r="A295" s="193">
        <v>32099</v>
      </c>
      <c r="B295" s="194" t="s">
        <v>278</v>
      </c>
      <c r="C295" s="198">
        <f t="shared" si="8"/>
        <v>11862</v>
      </c>
      <c r="D295" s="200">
        <f t="shared" si="9"/>
        <v>1.0355985834457131E-4</v>
      </c>
      <c r="E295" s="269"/>
      <c r="F295" s="254">
        <f>VLOOKUP(A295,'OPEB Amounts_Report'!$A$10:$A$324,1,FALSE)</f>
        <v>32099</v>
      </c>
      <c r="G295" s="116"/>
      <c r="H295" s="117"/>
    </row>
    <row r="296" spans="1:8">
      <c r="A296" s="195">
        <v>32100</v>
      </c>
      <c r="B296" s="196" t="s">
        <v>279</v>
      </c>
      <c r="C296" s="199">
        <f t="shared" si="8"/>
        <v>23159</v>
      </c>
      <c r="D296" s="201">
        <f t="shared" si="9"/>
        <v>2.0218704766497445E-4</v>
      </c>
      <c r="E296" s="269"/>
      <c r="F296" s="254">
        <f>VLOOKUP(A296,'OPEB Amounts_Report'!$A$10:$A$324,1,FALSE)</f>
        <v>32100</v>
      </c>
      <c r="G296" s="116"/>
      <c r="H296" s="117"/>
    </row>
    <row r="297" spans="1:8">
      <c r="A297" s="193">
        <v>32101</v>
      </c>
      <c r="B297" s="194" t="s">
        <v>280</v>
      </c>
      <c r="C297" s="198">
        <f t="shared" si="8"/>
        <v>9118</v>
      </c>
      <c r="D297" s="200">
        <f t="shared" si="9"/>
        <v>7.9603674623655472E-5</v>
      </c>
      <c r="E297" s="269"/>
      <c r="F297" s="254">
        <f>VLOOKUP(A297,'OPEB Amounts_Report'!$A$10:$A$324,1,FALSE)</f>
        <v>32101</v>
      </c>
      <c r="G297" s="116"/>
      <c r="H297" s="117"/>
    </row>
    <row r="298" spans="1:8">
      <c r="A298" s="195">
        <v>32102</v>
      </c>
      <c r="B298" s="196" t="s">
        <v>281</v>
      </c>
      <c r="C298" s="199">
        <f t="shared" si="8"/>
        <v>12479</v>
      </c>
      <c r="D298" s="201">
        <f t="shared" si="9"/>
        <v>1.0894650752671602E-4</v>
      </c>
      <c r="E298" s="269"/>
      <c r="F298" s="254">
        <f>VLOOKUP(A298,'OPEB Amounts_Report'!$A$10:$A$324,1,FALSE)</f>
        <v>32102</v>
      </c>
      <c r="G298" s="116"/>
      <c r="H298" s="117"/>
    </row>
    <row r="299" spans="1:8">
      <c r="A299" s="193">
        <v>2880</v>
      </c>
      <c r="B299" s="194" t="s">
        <v>282</v>
      </c>
      <c r="C299" s="198">
        <f t="shared" si="8"/>
        <v>4081</v>
      </c>
      <c r="D299" s="200">
        <f t="shared" si="9"/>
        <v>3.562871201350493E-5</v>
      </c>
      <c r="E299" s="269"/>
      <c r="F299" s="254">
        <f>VLOOKUP(A299,'OPEB Amounts_Report'!$A$10:$A$324,1,FALSE)</f>
        <v>2880</v>
      </c>
      <c r="G299" s="116"/>
      <c r="H299" s="117"/>
    </row>
    <row r="300" spans="1:8">
      <c r="A300" s="195">
        <v>2490</v>
      </c>
      <c r="B300" s="196" t="s">
        <v>283</v>
      </c>
      <c r="C300" s="199">
        <f t="shared" si="8"/>
        <v>33127</v>
      </c>
      <c r="D300" s="201">
        <f t="shared" si="9"/>
        <v>2.8921155179401564E-4</v>
      </c>
      <c r="E300" s="269"/>
      <c r="F300" s="254">
        <f>VLOOKUP(A300,'OPEB Amounts_Report'!$A$10:$A$324,1,FALSE)</f>
        <v>2490</v>
      </c>
      <c r="G300" s="116"/>
      <c r="H300" s="117"/>
    </row>
    <row r="301" spans="1:8">
      <c r="A301" s="193">
        <v>2530</v>
      </c>
      <c r="B301" s="194" t="s">
        <v>284</v>
      </c>
      <c r="C301" s="198">
        <f t="shared" si="8"/>
        <v>5918</v>
      </c>
      <c r="D301" s="200">
        <f t="shared" si="9"/>
        <v>5.166643413279152E-5</v>
      </c>
      <c r="E301" s="269"/>
      <c r="F301" s="254">
        <f>VLOOKUP(A301,'OPEB Amounts_Report'!$A$10:$A$324,1,FALSE)</f>
        <v>2530</v>
      </c>
      <c r="G301" s="116"/>
      <c r="H301" s="117"/>
    </row>
    <row r="302" spans="1:8">
      <c r="A302" s="195">
        <v>2560</v>
      </c>
      <c r="B302" s="196" t="s">
        <v>285</v>
      </c>
      <c r="C302" s="199">
        <f t="shared" si="8"/>
        <v>13600</v>
      </c>
      <c r="D302" s="201">
        <f t="shared" si="9"/>
        <v>1.1873327208617179E-4</v>
      </c>
      <c r="E302" s="269"/>
      <c r="F302" s="254">
        <f>VLOOKUP(A302,'OPEB Amounts_Report'!$A$10:$A$324,1,FALSE)</f>
        <v>2560</v>
      </c>
      <c r="G302" s="116"/>
      <c r="H302" s="117"/>
    </row>
    <row r="303" spans="1:8">
      <c r="A303" s="193">
        <v>2610</v>
      </c>
      <c r="B303" s="194" t="s">
        <v>286</v>
      </c>
      <c r="C303" s="198">
        <f t="shared" si="8"/>
        <v>3707</v>
      </c>
      <c r="D303" s="200">
        <f t="shared" si="9"/>
        <v>3.2363547031135208E-5</v>
      </c>
      <c r="E303" s="269"/>
      <c r="F303" s="254">
        <f>VLOOKUP(A303,'OPEB Amounts_Report'!$A$10:$A$324,1,FALSE)</f>
        <v>2610</v>
      </c>
      <c r="G303" s="116"/>
      <c r="H303" s="117"/>
    </row>
    <row r="304" spans="1:8">
      <c r="A304" s="195">
        <v>2800</v>
      </c>
      <c r="B304" s="196" t="s">
        <v>287</v>
      </c>
      <c r="C304" s="199">
        <f t="shared" si="8"/>
        <v>11666</v>
      </c>
      <c r="D304" s="201">
        <f t="shared" si="9"/>
        <v>1.0184870236450589E-4</v>
      </c>
      <c r="E304" s="269"/>
      <c r="F304" s="254">
        <f>VLOOKUP(A304,'OPEB Amounts_Report'!$A$10:$A$324,1,FALSE)</f>
        <v>2800</v>
      </c>
      <c r="G304" s="116"/>
      <c r="H304" s="117"/>
    </row>
    <row r="305" spans="1:8">
      <c r="A305" s="193">
        <v>20317</v>
      </c>
      <c r="B305" s="194" t="s">
        <v>288</v>
      </c>
      <c r="C305" s="198">
        <f t="shared" si="8"/>
        <v>21941</v>
      </c>
      <c r="D305" s="200">
        <f t="shared" si="9"/>
        <v>1.9155343550313934E-4</v>
      </c>
      <c r="E305" s="269"/>
      <c r="F305" s="254">
        <f>VLOOKUP(A305,'OPEB Amounts_Report'!$A$10:$A$324,1,FALSE)</f>
        <v>20317</v>
      </c>
      <c r="G305" s="116"/>
      <c r="H305" s="117"/>
    </row>
    <row r="306" spans="1:8">
      <c r="A306" s="195">
        <v>2442</v>
      </c>
      <c r="B306" s="196" t="s">
        <v>426</v>
      </c>
      <c r="C306" s="199">
        <f t="shared" si="8"/>
        <v>10383</v>
      </c>
      <c r="D306" s="201">
        <f t="shared" si="9"/>
        <v>9.0647615005200129E-5</v>
      </c>
      <c r="E306" s="269"/>
      <c r="F306" s="254">
        <f>VLOOKUP(A306,'OPEB Amounts_Report'!$A$10:$A$324,1,FALSE)</f>
        <v>2442</v>
      </c>
      <c r="G306" s="116"/>
      <c r="H306" s="117"/>
    </row>
    <row r="307" spans="1:8">
      <c r="A307" s="193">
        <v>30090</v>
      </c>
      <c r="B307" s="194" t="s">
        <v>289</v>
      </c>
      <c r="C307" s="198">
        <f t="shared" si="8"/>
        <v>33872</v>
      </c>
      <c r="D307" s="200">
        <f t="shared" si="9"/>
        <v>2.957156905957949E-4</v>
      </c>
      <c r="E307" s="269"/>
      <c r="F307" s="254">
        <f>VLOOKUP(A307,'OPEB Amounts_Report'!$A$10:$A$324,1,FALSE)</f>
        <v>30090</v>
      </c>
      <c r="G307" s="116"/>
      <c r="H307" s="117"/>
    </row>
    <row r="308" spans="1:8">
      <c r="A308" s="195">
        <v>29330</v>
      </c>
      <c r="B308" s="196" t="s">
        <v>290</v>
      </c>
      <c r="C308" s="199">
        <f t="shared" si="8"/>
        <v>15450</v>
      </c>
      <c r="D308" s="201">
        <f t="shared" si="9"/>
        <v>1.3488448924495251E-4</v>
      </c>
      <c r="E308" s="269"/>
      <c r="F308" s="254">
        <f>VLOOKUP(A308,'OPEB Amounts_Report'!$A$10:$A$324,1,FALSE)</f>
        <v>29330</v>
      </c>
      <c r="G308" s="116"/>
      <c r="H308" s="117"/>
    </row>
    <row r="309" spans="1:8">
      <c r="A309" s="193">
        <v>12038</v>
      </c>
      <c r="B309" s="194" t="s">
        <v>291</v>
      </c>
      <c r="C309" s="198">
        <f t="shared" si="8"/>
        <v>285702</v>
      </c>
      <c r="D309" s="200">
        <f t="shared" si="9"/>
        <v>2.4942892133502539E-3</v>
      </c>
      <c r="E309" s="269"/>
      <c r="F309" s="254">
        <f>VLOOKUP(A309,'OPEB Amounts_Report'!$A$10:$A$324,1,FALSE)</f>
        <v>12038</v>
      </c>
      <c r="G309" s="116"/>
      <c r="H309" s="117"/>
    </row>
    <row r="310" spans="1:8">
      <c r="A310" s="195">
        <v>8099</v>
      </c>
      <c r="B310" s="196" t="s">
        <v>292</v>
      </c>
      <c r="C310" s="199">
        <f t="shared" si="8"/>
        <v>484413</v>
      </c>
      <c r="D310" s="201">
        <f t="shared" si="9"/>
        <v>4.2291132743440246E-3</v>
      </c>
      <c r="E310" s="269"/>
      <c r="F310" s="254">
        <f>VLOOKUP(A310,'OPEB Amounts_Report'!$A$10:$A$324,1,FALSE)</f>
        <v>8099</v>
      </c>
      <c r="G310" s="116"/>
      <c r="H310" s="117"/>
    </row>
    <row r="311" spans="1:8">
      <c r="A311" s="193">
        <v>2417</v>
      </c>
      <c r="B311" s="194" t="s">
        <v>293</v>
      </c>
      <c r="C311" s="198">
        <f t="shared" si="8"/>
        <v>9614</v>
      </c>
      <c r="D311" s="200">
        <f t="shared" si="9"/>
        <v>8.3933946899739388E-5</v>
      </c>
      <c r="E311" s="269"/>
      <c r="F311" s="254">
        <f>VLOOKUP(A311,'OPEB Amounts_Report'!$A$10:$A$324,1,FALSE)</f>
        <v>2417</v>
      </c>
      <c r="G311" s="116"/>
      <c r="H311" s="117"/>
    </row>
    <row r="312" spans="1:8">
      <c r="A312" s="195">
        <v>13142</v>
      </c>
      <c r="B312" s="196" t="s">
        <v>294</v>
      </c>
      <c r="C312" s="270">
        <f t="shared" si="8"/>
        <v>297094</v>
      </c>
      <c r="D312" s="271">
        <f t="shared" si="9"/>
        <v>2.5937457894977295E-3</v>
      </c>
      <c r="E312" s="269"/>
      <c r="F312" s="254">
        <f>VLOOKUP(A312,'OPEB Amounts_Report'!$A$10:$A$324,1,FALSE)</f>
        <v>13142</v>
      </c>
    </row>
    <row r="313" spans="1:8">
      <c r="A313" s="193"/>
      <c r="B313" s="194"/>
      <c r="C313" s="198"/>
      <c r="D313" s="200"/>
      <c r="E313" s="130"/>
      <c r="F313" s="130"/>
    </row>
    <row r="314" spans="1:8" ht="13.5" thickBot="1">
      <c r="A314" s="204"/>
      <c r="B314" s="207"/>
      <c r="C314" s="239">
        <f>SUM(C9:C313)</f>
        <v>114542451</v>
      </c>
      <c r="D314" s="208">
        <f>SUM(D9:D313)</f>
        <v>0.99999999999999989</v>
      </c>
      <c r="E314" s="130"/>
      <c r="F314" s="130"/>
    </row>
    <row r="315" spans="1:8" ht="13.5" thickTop="1">
      <c r="A315" s="204"/>
      <c r="B315" s="207"/>
      <c r="C315" s="335"/>
      <c r="D315" s="206"/>
      <c r="E315" s="130"/>
      <c r="F315" s="130"/>
    </row>
    <row r="316" spans="1:8">
      <c r="A316" s="204"/>
      <c r="B316" s="207"/>
      <c r="E316" s="130"/>
      <c r="F316" s="130"/>
    </row>
    <row r="317" spans="1:8">
      <c r="A317" s="204"/>
      <c r="B317" s="207"/>
      <c r="C317" s="335"/>
      <c r="D317" s="206"/>
      <c r="E317" s="130"/>
      <c r="F317" s="130"/>
    </row>
    <row r="318" spans="1:8">
      <c r="A318" s="204"/>
      <c r="B318" s="207"/>
      <c r="C318" s="335"/>
      <c r="D318" s="206"/>
      <c r="E318" s="130"/>
      <c r="F318" s="130"/>
    </row>
    <row r="319" spans="1:8" ht="15">
      <c r="A319" s="215"/>
      <c r="B319" s="11"/>
      <c r="C319" s="160"/>
      <c r="D319" s="316">
        <v>1341</v>
      </c>
      <c r="E319" s="316" t="s">
        <v>5</v>
      </c>
      <c r="F319" s="322">
        <v>27260165</v>
      </c>
    </row>
    <row r="320" spans="1:8" ht="15">
      <c r="D320" s="316"/>
      <c r="E320" s="316"/>
      <c r="F320" s="314"/>
    </row>
    <row r="321" spans="4:6" ht="15">
      <c r="D321" s="316"/>
      <c r="E321" s="316"/>
      <c r="F321" s="317"/>
    </row>
    <row r="322" spans="4:6" ht="15">
      <c r="D322" s="316">
        <v>2308</v>
      </c>
      <c r="E322" s="316" t="s">
        <v>6</v>
      </c>
      <c r="F322" s="322">
        <v>51840</v>
      </c>
    </row>
    <row r="323" spans="4:6" ht="15">
      <c r="D323" s="316">
        <v>2340</v>
      </c>
      <c r="E323" s="316" t="s">
        <v>7</v>
      </c>
      <c r="F323" s="322">
        <v>49110</v>
      </c>
    </row>
    <row r="324" spans="4:6" ht="15">
      <c r="D324" s="316">
        <v>1301</v>
      </c>
      <c r="E324" s="316" t="s">
        <v>8</v>
      </c>
      <c r="F324" s="322">
        <v>58595</v>
      </c>
    </row>
    <row r="325" spans="4:6" ht="15">
      <c r="D325" s="316">
        <v>2390</v>
      </c>
      <c r="E325" s="316" t="s">
        <v>9</v>
      </c>
      <c r="F325" s="322">
        <v>46078</v>
      </c>
    </row>
    <row r="326" spans="4:6" ht="15">
      <c r="D326" s="316">
        <v>2441</v>
      </c>
      <c r="E326" s="315" t="s">
        <v>419</v>
      </c>
      <c r="F326" s="322">
        <v>25557</v>
      </c>
    </row>
    <row r="327" spans="4:6" ht="15">
      <c r="D327" s="316">
        <v>15046</v>
      </c>
      <c r="E327" s="316" t="s">
        <v>10</v>
      </c>
      <c r="F327" s="322">
        <v>818340</v>
      </c>
    </row>
    <row r="328" spans="4:6" ht="15">
      <c r="D328" s="316">
        <v>4380</v>
      </c>
      <c r="E328" s="316" t="s">
        <v>11</v>
      </c>
      <c r="F328" s="322">
        <v>821008</v>
      </c>
    </row>
    <row r="329" spans="4:6" ht="15">
      <c r="D329" s="316">
        <v>2343</v>
      </c>
      <c r="E329" s="316" t="s">
        <v>420</v>
      </c>
      <c r="F329" s="322">
        <v>63267</v>
      </c>
    </row>
    <row r="330" spans="4:6" ht="15">
      <c r="D330" s="316">
        <v>2435</v>
      </c>
      <c r="E330" s="317" t="s">
        <v>396</v>
      </c>
      <c r="F330" s="322">
        <v>26727</v>
      </c>
    </row>
    <row r="331" spans="4:6" ht="15">
      <c r="D331" s="316">
        <v>4560</v>
      </c>
      <c r="E331" s="316" t="s">
        <v>12</v>
      </c>
      <c r="F331" s="322">
        <v>65689</v>
      </c>
    </row>
    <row r="332" spans="4:6" ht="15">
      <c r="D332" s="316">
        <v>2341</v>
      </c>
      <c r="E332" s="316" t="s">
        <v>448</v>
      </c>
      <c r="F332" s="322">
        <v>40659</v>
      </c>
    </row>
    <row r="333" spans="4:6" ht="15">
      <c r="D333" s="316">
        <v>4580</v>
      </c>
      <c r="E333" s="318" t="s">
        <v>397</v>
      </c>
      <c r="F333" s="322">
        <v>39190</v>
      </c>
    </row>
    <row r="334" spans="4:6" ht="15">
      <c r="D334" s="316">
        <v>2003</v>
      </c>
      <c r="E334" s="316" t="s">
        <v>13</v>
      </c>
      <c r="F334" s="322">
        <v>12839003</v>
      </c>
    </row>
    <row r="335" spans="4:6" ht="15">
      <c r="D335" s="316">
        <v>2412</v>
      </c>
      <c r="E335" s="316" t="s">
        <v>14</v>
      </c>
      <c r="F335" s="322">
        <v>116942</v>
      </c>
    </row>
    <row r="336" spans="4:6" ht="15">
      <c r="D336" s="316">
        <v>2402</v>
      </c>
      <c r="E336" s="316" t="s">
        <v>15</v>
      </c>
      <c r="F336" s="322">
        <v>50176</v>
      </c>
    </row>
    <row r="337" spans="4:6" ht="15">
      <c r="D337" s="316">
        <v>2361</v>
      </c>
      <c r="E337" s="316" t="s">
        <v>16</v>
      </c>
      <c r="F337" s="322">
        <v>21259</v>
      </c>
    </row>
    <row r="338" spans="4:6" ht="15">
      <c r="D338" s="316">
        <v>8347</v>
      </c>
      <c r="E338" s="316" t="s">
        <v>17</v>
      </c>
      <c r="F338" s="322">
        <v>35115</v>
      </c>
    </row>
    <row r="339" spans="4:6" ht="15">
      <c r="D339" s="316">
        <v>2356</v>
      </c>
      <c r="E339" s="316" t="s">
        <v>18</v>
      </c>
      <c r="F339" s="322">
        <v>68423</v>
      </c>
    </row>
    <row r="340" spans="4:6" ht="15">
      <c r="D340" s="316">
        <v>7335</v>
      </c>
      <c r="E340" s="316" t="s">
        <v>19</v>
      </c>
      <c r="F340" s="322">
        <v>23701</v>
      </c>
    </row>
    <row r="341" spans="4:6" ht="15">
      <c r="D341" s="316">
        <v>575</v>
      </c>
      <c r="E341" s="318" t="s">
        <v>398</v>
      </c>
      <c r="F341" s="322">
        <v>25466</v>
      </c>
    </row>
    <row r="342" spans="4:6" ht="15">
      <c r="D342" s="316">
        <v>2303</v>
      </c>
      <c r="E342" s="316" t="s">
        <v>20</v>
      </c>
      <c r="F342" s="322">
        <v>49126</v>
      </c>
    </row>
    <row r="343" spans="4:6" ht="15">
      <c r="D343" s="316">
        <v>20316</v>
      </c>
      <c r="E343" s="316" t="s">
        <v>21</v>
      </c>
      <c r="F343" s="322">
        <v>31250</v>
      </c>
    </row>
    <row r="344" spans="4:6" ht="15">
      <c r="D344" s="316">
        <v>23121</v>
      </c>
      <c r="E344" s="316" t="s">
        <v>22</v>
      </c>
      <c r="F344" s="322">
        <v>35445</v>
      </c>
    </row>
    <row r="345" spans="4:6" ht="15">
      <c r="D345" s="316">
        <v>3004</v>
      </c>
      <c r="E345" s="316" t="s">
        <v>23</v>
      </c>
      <c r="F345" s="322">
        <v>564905</v>
      </c>
    </row>
    <row r="346" spans="4:6" ht="15">
      <c r="D346" s="316">
        <v>16050</v>
      </c>
      <c r="E346" s="316" t="s">
        <v>24</v>
      </c>
      <c r="F346" s="322">
        <v>380249</v>
      </c>
    </row>
    <row r="347" spans="4:6" ht="15">
      <c r="D347" s="316">
        <v>14043</v>
      </c>
      <c r="E347" s="316" t="s">
        <v>25</v>
      </c>
      <c r="F347" s="322">
        <v>567993</v>
      </c>
    </row>
    <row r="348" spans="4:6" ht="15">
      <c r="D348" s="316">
        <v>3010</v>
      </c>
      <c r="E348" s="316" t="s">
        <v>26</v>
      </c>
      <c r="F348" s="322">
        <v>3150508</v>
      </c>
    </row>
    <row r="349" spans="4:6" ht="15">
      <c r="D349" s="316">
        <v>29086</v>
      </c>
      <c r="E349" s="316" t="s">
        <v>27</v>
      </c>
      <c r="F349" s="322">
        <v>627408</v>
      </c>
    </row>
    <row r="350" spans="4:6" ht="15">
      <c r="D350" s="316">
        <v>16051</v>
      </c>
      <c r="E350" s="316" t="s">
        <v>28</v>
      </c>
      <c r="F350" s="322">
        <v>440548</v>
      </c>
    </row>
    <row r="351" spans="4:6" ht="15">
      <c r="D351" s="316">
        <v>26077</v>
      </c>
      <c r="E351" s="316" t="s">
        <v>29</v>
      </c>
      <c r="F351" s="322">
        <v>84395</v>
      </c>
    </row>
    <row r="352" spans="4:6" ht="15">
      <c r="D352" s="316">
        <v>3005</v>
      </c>
      <c r="E352" s="316" t="s">
        <v>30</v>
      </c>
      <c r="F352" s="322">
        <v>1050214</v>
      </c>
    </row>
    <row r="353" spans="4:6" ht="15">
      <c r="D353" s="316">
        <v>26078</v>
      </c>
      <c r="E353" s="316" t="s">
        <v>31</v>
      </c>
      <c r="F353" s="322">
        <v>36636</v>
      </c>
    </row>
    <row r="354" spans="4:6" ht="15">
      <c r="D354" s="316">
        <v>16053</v>
      </c>
      <c r="E354" s="316" t="s">
        <v>32</v>
      </c>
      <c r="F354" s="322">
        <v>1160819</v>
      </c>
    </row>
    <row r="355" spans="4:6" ht="15">
      <c r="D355" s="316">
        <v>2123</v>
      </c>
      <c r="E355" s="316" t="s">
        <v>33</v>
      </c>
      <c r="F355" s="322">
        <v>1686329</v>
      </c>
    </row>
    <row r="356" spans="4:6" ht="15">
      <c r="D356" s="316">
        <v>2150</v>
      </c>
      <c r="E356" s="316" t="s">
        <v>34</v>
      </c>
      <c r="F356" s="322">
        <v>117530</v>
      </c>
    </row>
    <row r="357" spans="4:6" ht="15">
      <c r="D357" s="316">
        <v>2336</v>
      </c>
      <c r="E357" s="316" t="s">
        <v>35</v>
      </c>
      <c r="F357" s="322">
        <v>28844</v>
      </c>
    </row>
    <row r="358" spans="4:6" ht="15">
      <c r="D358" s="316">
        <v>17126</v>
      </c>
      <c r="E358" s="316" t="s">
        <v>36</v>
      </c>
      <c r="F358" s="322">
        <v>83779</v>
      </c>
    </row>
    <row r="359" spans="4:6" ht="15">
      <c r="D359" s="316">
        <v>3030</v>
      </c>
      <c r="E359" s="316" t="s">
        <v>37</v>
      </c>
      <c r="F359" s="322">
        <v>204801</v>
      </c>
    </row>
    <row r="360" spans="4:6" ht="15">
      <c r="D360" s="316">
        <v>2353</v>
      </c>
      <c r="E360" s="316" t="s">
        <v>38</v>
      </c>
      <c r="F360" s="322">
        <v>75559</v>
      </c>
    </row>
    <row r="361" spans="4:6" ht="15">
      <c r="D361" s="316">
        <v>3040</v>
      </c>
      <c r="E361" s="316" t="s">
        <v>39</v>
      </c>
      <c r="F361" s="322">
        <v>84888</v>
      </c>
    </row>
    <row r="362" spans="4:6" ht="15">
      <c r="D362" s="316">
        <v>2367</v>
      </c>
      <c r="E362" s="316" t="s">
        <v>40</v>
      </c>
      <c r="F362" s="322">
        <v>69275</v>
      </c>
    </row>
    <row r="363" spans="4:6" ht="15">
      <c r="D363" s="316">
        <v>9027</v>
      </c>
      <c r="E363" s="316" t="s">
        <v>41</v>
      </c>
      <c r="F363" s="322">
        <v>86356</v>
      </c>
    </row>
    <row r="364" spans="4:6" ht="15">
      <c r="D364" s="316">
        <v>2010</v>
      </c>
      <c r="E364" s="316" t="s">
        <v>42</v>
      </c>
      <c r="F364" s="322">
        <v>319162</v>
      </c>
    </row>
    <row r="365" spans="4:6" ht="15">
      <c r="D365" s="316">
        <v>2020</v>
      </c>
      <c r="E365" s="316" t="s">
        <v>43</v>
      </c>
      <c r="F365" s="322">
        <v>7545593</v>
      </c>
    </row>
    <row r="366" spans="4:6" ht="15">
      <c r="D366" s="316">
        <v>2040</v>
      </c>
      <c r="E366" s="316" t="s">
        <v>44</v>
      </c>
      <c r="F366" s="322">
        <v>108071</v>
      </c>
    </row>
    <row r="367" spans="4:6" ht="15">
      <c r="D367" s="316">
        <v>2060</v>
      </c>
      <c r="E367" s="316" t="s">
        <v>45</v>
      </c>
      <c r="F367" s="322">
        <v>113875</v>
      </c>
    </row>
    <row r="368" spans="4:6" ht="15">
      <c r="D368" s="316">
        <v>2090</v>
      </c>
      <c r="E368" s="316" t="s">
        <v>46</v>
      </c>
      <c r="F368" s="322">
        <v>87914</v>
      </c>
    </row>
    <row r="369" spans="4:6" ht="15">
      <c r="D369" s="316">
        <v>2110</v>
      </c>
      <c r="E369" s="316" t="s">
        <v>47</v>
      </c>
      <c r="F369" s="322">
        <v>622132</v>
      </c>
    </row>
    <row r="370" spans="4:6" ht="15">
      <c r="D370" s="316">
        <v>2180</v>
      </c>
      <c r="E370" s="316" t="s">
        <v>48</v>
      </c>
      <c r="F370" s="322">
        <v>310542</v>
      </c>
    </row>
    <row r="371" spans="4:6" ht="15">
      <c r="D371" s="316">
        <v>2210</v>
      </c>
      <c r="E371" s="316" t="s">
        <v>49</v>
      </c>
      <c r="F371" s="322">
        <v>128418</v>
      </c>
    </row>
    <row r="372" spans="4:6" ht="15">
      <c r="D372" s="316">
        <v>2290</v>
      </c>
      <c r="E372" s="316" t="s">
        <v>50</v>
      </c>
      <c r="F372" s="322">
        <v>148216</v>
      </c>
    </row>
    <row r="373" spans="4:6" ht="15">
      <c r="D373" s="316">
        <v>2310</v>
      </c>
      <c r="E373" s="316" t="s">
        <v>51</v>
      </c>
      <c r="F373" s="322">
        <v>996902</v>
      </c>
    </row>
    <row r="374" spans="4:6" ht="15">
      <c r="D374" s="316">
        <v>2330</v>
      </c>
      <c r="E374" s="316" t="s">
        <v>52</v>
      </c>
      <c r="F374" s="322">
        <v>317128</v>
      </c>
    </row>
    <row r="375" spans="4:6" ht="15">
      <c r="D375" s="316">
        <v>2380</v>
      </c>
      <c r="E375" s="316" t="s">
        <v>53</v>
      </c>
      <c r="F375" s="322">
        <v>59968</v>
      </c>
    </row>
    <row r="376" spans="4:6" ht="15">
      <c r="D376" s="316">
        <v>2400</v>
      </c>
      <c r="E376" s="316" t="s">
        <v>54</v>
      </c>
      <c r="F376" s="322">
        <v>1731988</v>
      </c>
    </row>
    <row r="377" spans="4:6" ht="15">
      <c r="D377" s="316">
        <v>2410</v>
      </c>
      <c r="E377" s="316" t="s">
        <v>55</v>
      </c>
      <c r="F377" s="322">
        <v>197933</v>
      </c>
    </row>
    <row r="378" spans="4:6" ht="15">
      <c r="D378" s="316">
        <v>2500</v>
      </c>
      <c r="E378" s="316" t="s">
        <v>56</v>
      </c>
      <c r="F378" s="322">
        <v>38979</v>
      </c>
    </row>
    <row r="379" spans="4:6" ht="15">
      <c r="D379" s="316">
        <v>2550</v>
      </c>
      <c r="E379" s="316" t="s">
        <v>57</v>
      </c>
      <c r="F379" s="322">
        <v>130287</v>
      </c>
    </row>
    <row r="380" spans="4:6" ht="15">
      <c r="D380" s="316">
        <v>2570</v>
      </c>
      <c r="E380" s="316" t="s">
        <v>58</v>
      </c>
      <c r="F380" s="322">
        <v>77407</v>
      </c>
    </row>
    <row r="381" spans="4:6" ht="15">
      <c r="D381" s="316">
        <v>2620</v>
      </c>
      <c r="E381" s="316" t="s">
        <v>59</v>
      </c>
      <c r="F381" s="322">
        <v>745692</v>
      </c>
    </row>
    <row r="382" spans="4:6" ht="15">
      <c r="D382" s="316">
        <v>2630</v>
      </c>
      <c r="E382" s="316" t="s">
        <v>60</v>
      </c>
      <c r="F382" s="322">
        <v>651877</v>
      </c>
    </row>
    <row r="383" spans="4:6" ht="15">
      <c r="D383" s="316">
        <v>2690</v>
      </c>
      <c r="E383" s="316" t="s">
        <v>61</v>
      </c>
      <c r="F383" s="322">
        <v>1600274</v>
      </c>
    </row>
    <row r="384" spans="4:6" ht="15">
      <c r="D384" s="316">
        <v>2710</v>
      </c>
      <c r="E384" s="316" t="s">
        <v>62</v>
      </c>
      <c r="F384" s="322">
        <v>18510</v>
      </c>
    </row>
    <row r="385" spans="4:6" ht="15">
      <c r="D385" s="316">
        <v>2730</v>
      </c>
      <c r="E385" s="316" t="s">
        <v>63</v>
      </c>
      <c r="F385" s="322">
        <v>116120</v>
      </c>
    </row>
    <row r="386" spans="4:6" ht="15">
      <c r="D386" s="316">
        <v>2950</v>
      </c>
      <c r="E386" s="316" t="s">
        <v>64</v>
      </c>
      <c r="F386" s="322">
        <v>82110</v>
      </c>
    </row>
    <row r="387" spans="4:6" ht="15">
      <c r="D387" s="316">
        <v>2760</v>
      </c>
      <c r="E387" s="316" t="s">
        <v>65</v>
      </c>
      <c r="F387" s="322">
        <v>82832</v>
      </c>
    </row>
    <row r="388" spans="4:6" ht="15">
      <c r="D388" s="316">
        <v>2780</v>
      </c>
      <c r="E388" s="316" t="s">
        <v>66</v>
      </c>
      <c r="F388" s="322">
        <v>6504</v>
      </c>
    </row>
    <row r="389" spans="4:6" ht="15">
      <c r="D389" s="316">
        <v>2810</v>
      </c>
      <c r="E389" s="316" t="s">
        <v>67</v>
      </c>
      <c r="F389" s="322">
        <v>62995</v>
      </c>
    </row>
    <row r="390" spans="4:6" ht="15">
      <c r="D390" s="316">
        <v>18056</v>
      </c>
      <c r="E390" s="316" t="s">
        <v>68</v>
      </c>
      <c r="F390" s="322">
        <v>80990</v>
      </c>
    </row>
    <row r="391" spans="4:6" ht="15">
      <c r="D391" s="316">
        <v>15047</v>
      </c>
      <c r="E391" s="316" t="s">
        <v>69</v>
      </c>
      <c r="F391" s="322">
        <v>79591</v>
      </c>
    </row>
    <row r="392" spans="4:6" ht="15">
      <c r="D392" s="316">
        <v>5012</v>
      </c>
      <c r="E392" s="316" t="s">
        <v>70</v>
      </c>
      <c r="F392" s="322">
        <v>1160434</v>
      </c>
    </row>
    <row r="393" spans="4:6" ht="15">
      <c r="D393" s="316">
        <v>8024</v>
      </c>
      <c r="E393" s="316" t="s">
        <v>71</v>
      </c>
      <c r="F393" s="322">
        <v>240642</v>
      </c>
    </row>
    <row r="394" spans="4:6" ht="15">
      <c r="D394" s="316">
        <v>3050</v>
      </c>
      <c r="E394" s="316" t="s">
        <v>72</v>
      </c>
      <c r="F394" s="322">
        <v>85724</v>
      </c>
    </row>
    <row r="395" spans="4:6" ht="15">
      <c r="D395" s="316">
        <v>2421</v>
      </c>
      <c r="E395" s="316" t="s">
        <v>73</v>
      </c>
      <c r="F395" s="322">
        <v>32495</v>
      </c>
    </row>
    <row r="396" spans="4:6" ht="15">
      <c r="D396" s="316">
        <v>26079</v>
      </c>
      <c r="E396" s="316" t="s">
        <v>74</v>
      </c>
      <c r="F396" s="322">
        <v>26259</v>
      </c>
    </row>
    <row r="397" spans="4:6" ht="15">
      <c r="D397" s="316">
        <v>2363</v>
      </c>
      <c r="E397" s="316" t="s">
        <v>75</v>
      </c>
      <c r="F397" s="322">
        <v>34256</v>
      </c>
    </row>
    <row r="398" spans="4:6" ht="15">
      <c r="D398" s="316">
        <v>2364</v>
      </c>
      <c r="E398" s="316" t="s">
        <v>76</v>
      </c>
      <c r="F398" s="322">
        <v>107211</v>
      </c>
    </row>
    <row r="399" spans="4:6" ht="15">
      <c r="D399" s="316">
        <v>25319</v>
      </c>
      <c r="E399" s="316" t="s">
        <v>77</v>
      </c>
      <c r="F399" s="322">
        <v>22672</v>
      </c>
    </row>
    <row r="400" spans="4:6" ht="15">
      <c r="D400" s="316">
        <v>29087</v>
      </c>
      <c r="E400" s="316" t="s">
        <v>78</v>
      </c>
      <c r="F400" s="322">
        <v>204880</v>
      </c>
    </row>
    <row r="401" spans="4:6" ht="15">
      <c r="D401" s="316">
        <v>3060</v>
      </c>
      <c r="E401" s="316" t="s">
        <v>79</v>
      </c>
      <c r="F401" s="322">
        <v>129088</v>
      </c>
    </row>
    <row r="402" spans="4:6" ht="15">
      <c r="D402" s="316">
        <v>19301</v>
      </c>
      <c r="E402" s="316" t="s">
        <v>80</v>
      </c>
      <c r="F402" s="322">
        <v>24404</v>
      </c>
    </row>
    <row r="403" spans="4:6" ht="15">
      <c r="D403" s="316">
        <v>19059</v>
      </c>
      <c r="E403" s="316" t="s">
        <v>81</v>
      </c>
      <c r="F403" s="322">
        <v>846344</v>
      </c>
    </row>
    <row r="404" spans="4:6" ht="15">
      <c r="D404" s="316">
        <v>18057</v>
      </c>
      <c r="E404" s="316" t="s">
        <v>82</v>
      </c>
      <c r="F404" s="322">
        <v>32116</v>
      </c>
    </row>
    <row r="405" spans="4:6" ht="15">
      <c r="D405" s="316">
        <v>4008</v>
      </c>
      <c r="E405" s="316" t="s">
        <v>83</v>
      </c>
      <c r="F405" s="322">
        <v>145431</v>
      </c>
    </row>
    <row r="406" spans="4:6" ht="15">
      <c r="D406" s="316">
        <v>2350</v>
      </c>
      <c r="E406" s="316" t="s">
        <v>84</v>
      </c>
      <c r="F406" s="322">
        <v>48150</v>
      </c>
    </row>
    <row r="407" spans="4:6" ht="15">
      <c r="D407" s="316">
        <v>11117</v>
      </c>
      <c r="E407" s="316" t="s">
        <v>85</v>
      </c>
      <c r="F407" s="322">
        <v>45280</v>
      </c>
    </row>
    <row r="408" spans="4:6" ht="15">
      <c r="D408" s="316">
        <v>16359</v>
      </c>
      <c r="E408" s="316" t="s">
        <v>86</v>
      </c>
      <c r="F408" s="322">
        <v>12500</v>
      </c>
    </row>
    <row r="409" spans="4:6" ht="15">
      <c r="D409" s="316">
        <v>17115</v>
      </c>
      <c r="E409" s="316" t="s">
        <v>87</v>
      </c>
      <c r="F409" s="322">
        <v>161500</v>
      </c>
    </row>
    <row r="410" spans="4:6" ht="15">
      <c r="D410" s="316">
        <v>32117</v>
      </c>
      <c r="E410" s="316" t="s">
        <v>88</v>
      </c>
      <c r="F410" s="322">
        <v>12114</v>
      </c>
    </row>
    <row r="411" spans="4:6" ht="15">
      <c r="D411" s="316">
        <v>2304</v>
      </c>
      <c r="E411" s="316" t="s">
        <v>89</v>
      </c>
      <c r="F411" s="322">
        <v>49556</v>
      </c>
    </row>
    <row r="412" spans="4:6" ht="15">
      <c r="D412" s="316">
        <v>11101</v>
      </c>
      <c r="E412" s="316" t="s">
        <v>91</v>
      </c>
      <c r="F412" s="322">
        <v>631103</v>
      </c>
    </row>
    <row r="413" spans="4:6" ht="15">
      <c r="D413" s="316">
        <v>11102</v>
      </c>
      <c r="E413" s="316" t="s">
        <v>90</v>
      </c>
      <c r="F413" s="322">
        <v>238755</v>
      </c>
    </row>
    <row r="414" spans="4:6" ht="15">
      <c r="D414" s="316">
        <v>3100</v>
      </c>
      <c r="E414" s="316" t="s">
        <v>92</v>
      </c>
      <c r="F414" s="322">
        <v>457095</v>
      </c>
    </row>
    <row r="415" spans="4:6" ht="15">
      <c r="D415" s="316">
        <v>2323</v>
      </c>
      <c r="E415" s="316" t="s">
        <v>93</v>
      </c>
      <c r="F415" s="322">
        <v>53157</v>
      </c>
    </row>
    <row r="416" spans="4:6" ht="15">
      <c r="D416" s="316">
        <v>11034</v>
      </c>
      <c r="E416" s="316" t="s">
        <v>94</v>
      </c>
      <c r="F416" s="322">
        <v>37331</v>
      </c>
    </row>
    <row r="417" spans="4:6" ht="15">
      <c r="D417" s="316">
        <v>17054</v>
      </c>
      <c r="E417" s="316" t="s">
        <v>95</v>
      </c>
      <c r="F417" s="322">
        <v>504681</v>
      </c>
    </row>
    <row r="418" spans="4:6" ht="15">
      <c r="D418" s="316">
        <v>22065</v>
      </c>
      <c r="E418" s="316" t="s">
        <v>96</v>
      </c>
      <c r="F418" s="322">
        <v>115783</v>
      </c>
    </row>
    <row r="419" spans="4:6" ht="15">
      <c r="D419" s="316">
        <v>22201</v>
      </c>
      <c r="E419" s="316" t="s">
        <v>97</v>
      </c>
      <c r="F419" s="322">
        <v>65078</v>
      </c>
    </row>
    <row r="420" spans="4:6" ht="15">
      <c r="D420" s="316">
        <v>6016</v>
      </c>
      <c r="E420" s="316" t="s">
        <v>98</v>
      </c>
      <c r="F420" s="322">
        <v>122534</v>
      </c>
    </row>
    <row r="421" spans="4:6" ht="15">
      <c r="D421" s="316">
        <v>7440</v>
      </c>
      <c r="E421" s="320" t="s">
        <v>447</v>
      </c>
      <c r="F421" s="322">
        <v>27273</v>
      </c>
    </row>
    <row r="422" spans="4:6" ht="15">
      <c r="D422" s="316">
        <v>2432</v>
      </c>
      <c r="E422" s="316" t="s">
        <v>99</v>
      </c>
      <c r="F422" s="322">
        <v>193088</v>
      </c>
    </row>
    <row r="423" spans="4:6" ht="15">
      <c r="D423" s="316">
        <v>16052</v>
      </c>
      <c r="E423" s="316" t="s">
        <v>100</v>
      </c>
      <c r="F423" s="322">
        <v>1580589</v>
      </c>
    </row>
    <row r="424" spans="4:6" ht="15">
      <c r="D424" s="316">
        <v>11118</v>
      </c>
      <c r="E424" s="316" t="s">
        <v>101</v>
      </c>
      <c r="F424" s="322">
        <v>41634</v>
      </c>
    </row>
    <row r="425" spans="4:6" ht="15">
      <c r="D425" s="316">
        <v>27083</v>
      </c>
      <c r="E425" s="316" t="s">
        <v>102</v>
      </c>
      <c r="F425" s="322">
        <v>61599</v>
      </c>
    </row>
    <row r="426" spans="4:6" ht="15">
      <c r="D426" s="316">
        <v>7021</v>
      </c>
      <c r="E426" s="316" t="s">
        <v>103</v>
      </c>
      <c r="F426" s="322">
        <v>2042234</v>
      </c>
    </row>
    <row r="427" spans="4:6" ht="15">
      <c r="D427" s="316">
        <v>4140</v>
      </c>
      <c r="E427" s="316" t="s">
        <v>104</v>
      </c>
      <c r="F427" s="322">
        <v>14562</v>
      </c>
    </row>
    <row r="428" spans="4:6" ht="15">
      <c r="D428" s="316">
        <v>13041</v>
      </c>
      <c r="E428" s="316" t="s">
        <v>105</v>
      </c>
      <c r="F428" s="322">
        <v>1866333</v>
      </c>
    </row>
    <row r="429" spans="4:6" ht="15">
      <c r="D429" s="316">
        <v>2339</v>
      </c>
      <c r="E429" s="316" t="s">
        <v>106</v>
      </c>
      <c r="F429" s="322">
        <v>29317</v>
      </c>
    </row>
    <row r="430" spans="4:6" ht="15">
      <c r="D430" s="316">
        <v>2362</v>
      </c>
      <c r="E430" s="316" t="s">
        <v>107</v>
      </c>
      <c r="F430" s="322">
        <v>29175</v>
      </c>
    </row>
    <row r="431" spans="4:6" ht="15">
      <c r="D431" s="316">
        <v>5013</v>
      </c>
      <c r="E431" s="316" t="s">
        <v>108</v>
      </c>
      <c r="F431" s="322">
        <v>34444</v>
      </c>
    </row>
    <row r="432" spans="4:6" ht="15">
      <c r="D432" s="316">
        <v>3110</v>
      </c>
      <c r="E432" s="316" t="s">
        <v>109</v>
      </c>
      <c r="F432" s="322">
        <v>140152</v>
      </c>
    </row>
    <row r="433" spans="4:6" ht="15">
      <c r="D433" s="316">
        <v>14044</v>
      </c>
      <c r="E433" s="316" t="s">
        <v>110</v>
      </c>
      <c r="F433" s="322">
        <v>552421</v>
      </c>
    </row>
    <row r="434" spans="4:6" ht="15">
      <c r="D434" s="316">
        <v>4009</v>
      </c>
      <c r="E434" s="316" t="s">
        <v>111</v>
      </c>
      <c r="F434" s="322">
        <v>64683</v>
      </c>
    </row>
    <row r="435" spans="4:6" ht="15">
      <c r="D435" s="316">
        <v>7022</v>
      </c>
      <c r="E435" s="316" t="s">
        <v>112</v>
      </c>
      <c r="F435" s="322">
        <v>221862</v>
      </c>
    </row>
    <row r="436" spans="4:6" ht="15">
      <c r="D436" s="316">
        <v>2430</v>
      </c>
      <c r="E436" s="316" t="s">
        <v>113</v>
      </c>
      <c r="F436" s="322">
        <v>29224</v>
      </c>
    </row>
    <row r="437" spans="4:6" ht="15">
      <c r="D437" s="316">
        <v>9150</v>
      </c>
      <c r="E437" s="316" t="s">
        <v>114</v>
      </c>
      <c r="F437" s="322">
        <v>13333</v>
      </c>
    </row>
    <row r="438" spans="4:6" ht="15">
      <c r="D438" s="316">
        <v>6017</v>
      </c>
      <c r="E438" s="316" t="s">
        <v>115</v>
      </c>
      <c r="F438" s="322">
        <v>1502498</v>
      </c>
    </row>
    <row r="439" spans="4:6" ht="15">
      <c r="D439" s="316">
        <v>26080</v>
      </c>
      <c r="E439" s="316" t="s">
        <v>116</v>
      </c>
      <c r="F439" s="322">
        <v>42832</v>
      </c>
    </row>
    <row r="440" spans="4:6" ht="15">
      <c r="D440" s="316">
        <v>2327</v>
      </c>
      <c r="E440" s="316" t="s">
        <v>117</v>
      </c>
      <c r="F440" s="322">
        <v>52179</v>
      </c>
    </row>
    <row r="441" spans="4:6" ht="15">
      <c r="D441" s="316">
        <v>10119</v>
      </c>
      <c r="E441" s="316" t="s">
        <v>118</v>
      </c>
      <c r="F441" s="322">
        <v>27470</v>
      </c>
    </row>
    <row r="442" spans="4:6" ht="15">
      <c r="D442" s="316">
        <v>573</v>
      </c>
      <c r="E442" s="318" t="s">
        <v>399</v>
      </c>
      <c r="F442" s="322">
        <v>89097</v>
      </c>
    </row>
    <row r="443" spans="4:6" ht="15">
      <c r="D443" s="316">
        <v>2368</v>
      </c>
      <c r="E443" s="316" t="s">
        <v>119</v>
      </c>
      <c r="F443" s="322">
        <v>54302</v>
      </c>
    </row>
    <row r="444" spans="4:6" ht="15">
      <c r="D444" s="316">
        <v>7420</v>
      </c>
      <c r="E444" s="316" t="s">
        <v>120</v>
      </c>
      <c r="F444" s="322">
        <v>30270</v>
      </c>
    </row>
    <row r="445" spans="4:6" ht="15">
      <c r="D445" s="316">
        <v>6018</v>
      </c>
      <c r="E445" s="316" t="s">
        <v>121</v>
      </c>
      <c r="F445" s="322">
        <v>98000</v>
      </c>
    </row>
    <row r="446" spans="4:6" ht="15">
      <c r="D446" s="316">
        <v>3321</v>
      </c>
      <c r="E446" s="316" t="s">
        <v>122</v>
      </c>
      <c r="F446" s="322">
        <v>38897</v>
      </c>
    </row>
    <row r="447" spans="4:6" ht="15">
      <c r="D447" s="316">
        <v>29122</v>
      </c>
      <c r="E447" s="316" t="s">
        <v>123</v>
      </c>
      <c r="F447" s="322">
        <v>54763</v>
      </c>
    </row>
    <row r="448" spans="4:6" ht="15">
      <c r="D448" s="316">
        <v>29088</v>
      </c>
      <c r="E448" s="316" t="s">
        <v>124</v>
      </c>
      <c r="F448" s="322">
        <v>67567</v>
      </c>
    </row>
    <row r="449" spans="4:6" ht="15">
      <c r="D449" s="316">
        <v>7337</v>
      </c>
      <c r="E449" s="316" t="s">
        <v>125</v>
      </c>
      <c r="F449" s="322">
        <v>18904</v>
      </c>
    </row>
    <row r="450" spans="4:6" ht="15">
      <c r="D450" s="316">
        <v>2329</v>
      </c>
      <c r="E450" s="316" t="s">
        <v>126</v>
      </c>
      <c r="F450" s="322">
        <v>44551</v>
      </c>
    </row>
    <row r="451" spans="4:6" ht="15">
      <c r="D451" s="316">
        <v>17425</v>
      </c>
      <c r="E451" s="316" t="s">
        <v>128</v>
      </c>
      <c r="F451" s="322">
        <v>13568</v>
      </c>
    </row>
    <row r="452" spans="4:6" ht="15">
      <c r="D452" s="316">
        <v>4010</v>
      </c>
      <c r="E452" s="316" t="s">
        <v>129</v>
      </c>
      <c r="F452" s="322">
        <v>32117</v>
      </c>
    </row>
    <row r="453" spans="4:6" ht="15">
      <c r="D453" s="316">
        <v>7023</v>
      </c>
      <c r="E453" s="318" t="s">
        <v>421</v>
      </c>
      <c r="F453" s="322">
        <v>3907030</v>
      </c>
    </row>
    <row r="454" spans="4:6" ht="15">
      <c r="D454" s="316">
        <v>7338</v>
      </c>
      <c r="E454" s="316" t="s">
        <v>131</v>
      </c>
      <c r="F454" s="322">
        <v>27013</v>
      </c>
    </row>
    <row r="455" spans="4:6" ht="15">
      <c r="D455" s="316">
        <v>12037</v>
      </c>
      <c r="E455" s="316" t="s">
        <v>132</v>
      </c>
      <c r="F455" s="322">
        <v>222030</v>
      </c>
    </row>
    <row r="456" spans="4:6" ht="15">
      <c r="D456" s="316">
        <v>3150</v>
      </c>
      <c r="E456" s="316" t="s">
        <v>133</v>
      </c>
      <c r="F456" s="322">
        <v>449765</v>
      </c>
    </row>
    <row r="457" spans="4:6" ht="15">
      <c r="D457" s="316">
        <v>3160</v>
      </c>
      <c r="E457" s="316" t="s">
        <v>134</v>
      </c>
      <c r="F457" s="322">
        <v>104169</v>
      </c>
    </row>
    <row r="458" spans="4:6" ht="15">
      <c r="D458" s="316">
        <v>10120</v>
      </c>
      <c r="E458" s="316" t="s">
        <v>135</v>
      </c>
      <c r="F458" s="322">
        <v>53435</v>
      </c>
    </row>
    <row r="459" spans="4:6" ht="15">
      <c r="D459" s="316">
        <v>23070</v>
      </c>
      <c r="E459" s="316" t="s">
        <v>136</v>
      </c>
      <c r="F459" s="322">
        <v>80676</v>
      </c>
    </row>
    <row r="460" spans="4:6" ht="15">
      <c r="D460" s="316">
        <v>3170</v>
      </c>
      <c r="E460" s="316" t="s">
        <v>137</v>
      </c>
      <c r="F460" s="322">
        <v>1044231</v>
      </c>
    </row>
    <row r="461" spans="4:6" ht="15">
      <c r="D461" s="316">
        <v>32093</v>
      </c>
      <c r="E461" s="316" t="s">
        <v>138</v>
      </c>
      <c r="F461" s="322">
        <v>694472</v>
      </c>
    </row>
    <row r="462" spans="4:6" ht="15">
      <c r="D462" s="316">
        <v>14045</v>
      </c>
      <c r="E462" s="316" t="s">
        <v>139</v>
      </c>
      <c r="F462" s="322">
        <v>1312104</v>
      </c>
    </row>
    <row r="463" spans="4:6" ht="15">
      <c r="D463" s="316">
        <v>2322</v>
      </c>
      <c r="E463" s="316" t="s">
        <v>140</v>
      </c>
      <c r="F463" s="322">
        <v>31835</v>
      </c>
    </row>
    <row r="464" spans="4:6" ht="15">
      <c r="D464" s="316">
        <v>3006</v>
      </c>
      <c r="E464" s="316" t="s">
        <v>141</v>
      </c>
      <c r="F464" s="322">
        <v>105085</v>
      </c>
    </row>
    <row r="465" spans="4:6" ht="15">
      <c r="D465" s="316">
        <v>6019</v>
      </c>
      <c r="E465" s="316" t="s">
        <v>142</v>
      </c>
      <c r="F465" s="322">
        <v>565963</v>
      </c>
    </row>
    <row r="466" spans="4:6" ht="15">
      <c r="D466" s="316">
        <v>12128</v>
      </c>
      <c r="E466" s="316" t="s">
        <v>143</v>
      </c>
      <c r="F466" s="322">
        <v>108698</v>
      </c>
    </row>
    <row r="467" spans="4:6" ht="15">
      <c r="D467" s="316">
        <v>3180</v>
      </c>
      <c r="E467" s="316" t="s">
        <v>144</v>
      </c>
      <c r="F467" s="322">
        <v>205115</v>
      </c>
    </row>
    <row r="468" spans="4:6" ht="15">
      <c r="D468" s="316">
        <v>25075</v>
      </c>
      <c r="E468" s="316" t="s">
        <v>145</v>
      </c>
      <c r="F468" s="322">
        <v>85785</v>
      </c>
    </row>
    <row r="469" spans="4:6" ht="15">
      <c r="D469" s="316">
        <v>2311</v>
      </c>
      <c r="E469" s="318" t="s">
        <v>422</v>
      </c>
      <c r="F469" s="322">
        <v>35147</v>
      </c>
    </row>
    <row r="470" spans="4:6" ht="15">
      <c r="D470" s="316">
        <v>9028</v>
      </c>
      <c r="E470" s="316" t="s">
        <v>146</v>
      </c>
      <c r="F470" s="322">
        <v>31955</v>
      </c>
    </row>
    <row r="471" spans="4:6" ht="15">
      <c r="D471" s="316">
        <v>17424</v>
      </c>
      <c r="E471" s="316" t="s">
        <v>147</v>
      </c>
      <c r="F471" s="322">
        <v>63815</v>
      </c>
    </row>
    <row r="472" spans="4:6" ht="15">
      <c r="D472" s="316">
        <v>3200</v>
      </c>
      <c r="E472" s="316" t="s">
        <v>148</v>
      </c>
      <c r="F472" s="322">
        <v>216989</v>
      </c>
    </row>
    <row r="473" spans="4:6" ht="15">
      <c r="D473" s="316">
        <v>2365</v>
      </c>
      <c r="E473" s="316" t="s">
        <v>149</v>
      </c>
      <c r="F473" s="322">
        <v>25986</v>
      </c>
    </row>
    <row r="474" spans="4:6" ht="15">
      <c r="D474" s="316">
        <v>5014</v>
      </c>
      <c r="E474" s="316" t="s">
        <v>150</v>
      </c>
      <c r="F474" s="322">
        <v>45789</v>
      </c>
    </row>
    <row r="475" spans="4:6" ht="15">
      <c r="D475" s="316">
        <v>17127</v>
      </c>
      <c r="E475" s="316" t="s">
        <v>151</v>
      </c>
      <c r="F475" s="322">
        <v>52398</v>
      </c>
    </row>
    <row r="476" spans="4:6" ht="15">
      <c r="D476" s="316">
        <v>10141</v>
      </c>
      <c r="E476" s="316" t="s">
        <v>152</v>
      </c>
      <c r="F476" s="322">
        <v>110970</v>
      </c>
    </row>
    <row r="477" spans="4:6" ht="15">
      <c r="D477" s="316">
        <v>13369</v>
      </c>
      <c r="E477" s="316" t="s">
        <v>153</v>
      </c>
      <c r="F477" s="322">
        <v>16420</v>
      </c>
    </row>
    <row r="478" spans="4:6" ht="15">
      <c r="D478" s="316">
        <v>4570</v>
      </c>
      <c r="E478" s="318" t="s">
        <v>400</v>
      </c>
      <c r="F478" s="322">
        <v>168116</v>
      </c>
    </row>
    <row r="479" spans="4:6" ht="15">
      <c r="D479" s="316">
        <v>2425</v>
      </c>
      <c r="E479" s="316" t="s">
        <v>154</v>
      </c>
      <c r="F479" s="322">
        <v>349095</v>
      </c>
    </row>
    <row r="480" spans="4:6" ht="15">
      <c r="D480" s="316">
        <v>1306</v>
      </c>
      <c r="E480" s="316" t="s">
        <v>155</v>
      </c>
      <c r="F480" s="322">
        <v>51776</v>
      </c>
    </row>
    <row r="481" spans="4:6" ht="15">
      <c r="D481" s="316">
        <v>2351</v>
      </c>
      <c r="E481" s="316" t="s">
        <v>156</v>
      </c>
      <c r="F481" s="322">
        <v>55892</v>
      </c>
    </row>
    <row r="482" spans="4:6" ht="15">
      <c r="D482" s="316">
        <v>2334</v>
      </c>
      <c r="E482" s="316" t="s">
        <v>157</v>
      </c>
      <c r="F482" s="322">
        <v>38269</v>
      </c>
    </row>
    <row r="483" spans="4:6" ht="15">
      <c r="D483" s="316">
        <v>30089</v>
      </c>
      <c r="E483" s="316" t="s">
        <v>158</v>
      </c>
      <c r="F483" s="322">
        <v>107552</v>
      </c>
    </row>
    <row r="484" spans="4:6" ht="15">
      <c r="D484" s="316">
        <v>9324</v>
      </c>
      <c r="E484" s="316" t="s">
        <v>159</v>
      </c>
      <c r="F484" s="322">
        <v>14884</v>
      </c>
    </row>
    <row r="485" spans="4:6" ht="15">
      <c r="D485" s="316">
        <v>22066</v>
      </c>
      <c r="E485" s="316" t="s">
        <v>160</v>
      </c>
      <c r="F485" s="322">
        <v>398668</v>
      </c>
    </row>
    <row r="486" spans="4:6" ht="15">
      <c r="D486" s="316">
        <v>16356</v>
      </c>
      <c r="E486" s="316" t="s">
        <v>161</v>
      </c>
      <c r="F486" s="322">
        <v>24247</v>
      </c>
    </row>
    <row r="487" spans="4:6" ht="15">
      <c r="D487" s="316">
        <v>31091</v>
      </c>
      <c r="E487" s="316" t="s">
        <v>162</v>
      </c>
      <c r="F487" s="322">
        <v>24116</v>
      </c>
    </row>
    <row r="488" spans="4:6" ht="15">
      <c r="D488" s="316">
        <v>2342</v>
      </c>
      <c r="E488" s="316" t="s">
        <v>163</v>
      </c>
      <c r="F488" s="322">
        <v>42424</v>
      </c>
    </row>
    <row r="489" spans="4:6" ht="15">
      <c r="D489" s="316">
        <v>22067</v>
      </c>
      <c r="E489" s="316" t="s">
        <v>164</v>
      </c>
      <c r="F489" s="322">
        <v>60771</v>
      </c>
    </row>
    <row r="490" spans="4:6" ht="15">
      <c r="D490" s="316">
        <v>32112</v>
      </c>
      <c r="E490" s="316" t="s">
        <v>165</v>
      </c>
      <c r="F490" s="322">
        <v>24194</v>
      </c>
    </row>
    <row r="491" spans="4:6" ht="15">
      <c r="D491" s="316">
        <v>2354</v>
      </c>
      <c r="E491" s="316" t="s">
        <v>166</v>
      </c>
      <c r="F491" s="322">
        <v>84242</v>
      </c>
    </row>
    <row r="492" spans="4:6" ht="15">
      <c r="D492" s="316">
        <v>2148</v>
      </c>
      <c r="E492" s="316" t="s">
        <v>167</v>
      </c>
      <c r="F492" s="322">
        <v>25133</v>
      </c>
    </row>
    <row r="493" spans="4:6" ht="15">
      <c r="D493" s="316">
        <v>1418</v>
      </c>
      <c r="E493" s="316" t="s">
        <v>168</v>
      </c>
      <c r="F493" s="322">
        <v>115003</v>
      </c>
    </row>
    <row r="494" spans="4:6" ht="15">
      <c r="D494" s="316">
        <v>12102</v>
      </c>
      <c r="E494" s="316" t="s">
        <v>169</v>
      </c>
      <c r="F494" s="322">
        <v>635534</v>
      </c>
    </row>
    <row r="495" spans="4:6" ht="15">
      <c r="D495" s="316">
        <v>2414</v>
      </c>
      <c r="E495" s="316" t="s">
        <v>170</v>
      </c>
      <c r="F495" s="322">
        <v>60338</v>
      </c>
    </row>
    <row r="496" spans="4:6" ht="15">
      <c r="D496" s="316">
        <v>6124</v>
      </c>
      <c r="E496" s="316" t="s">
        <v>171</v>
      </c>
      <c r="F496" s="322">
        <v>296660</v>
      </c>
    </row>
    <row r="497" spans="4:6" ht="15">
      <c r="D497" s="316">
        <v>4097</v>
      </c>
      <c r="E497" s="316" t="s">
        <v>172</v>
      </c>
      <c r="F497" s="322">
        <v>338475</v>
      </c>
    </row>
    <row r="498" spans="4:6" ht="15">
      <c r="D498" s="316">
        <v>1416</v>
      </c>
      <c r="E498" s="316" t="s">
        <v>173</v>
      </c>
      <c r="F498" s="322">
        <v>47260</v>
      </c>
    </row>
    <row r="499" spans="4:6" ht="15">
      <c r="D499" s="316">
        <v>1094</v>
      </c>
      <c r="E499" s="316" t="s">
        <v>174</v>
      </c>
      <c r="F499" s="322">
        <v>220713</v>
      </c>
    </row>
    <row r="500" spans="4:6" ht="15">
      <c r="D500" s="316">
        <v>32111</v>
      </c>
      <c r="E500" s="316" t="s">
        <v>175</v>
      </c>
      <c r="F500" s="322">
        <v>235132</v>
      </c>
    </row>
    <row r="501" spans="4:6" ht="15">
      <c r="D501" s="316">
        <v>2520</v>
      </c>
      <c r="E501" s="316" t="s">
        <v>176</v>
      </c>
      <c r="F501" s="322">
        <v>35312</v>
      </c>
    </row>
    <row r="502" spans="4:6" ht="15">
      <c r="D502" s="316">
        <v>3450</v>
      </c>
      <c r="E502" s="316" t="s">
        <v>177</v>
      </c>
      <c r="F502" s="322">
        <v>63731</v>
      </c>
    </row>
    <row r="503" spans="4:6" ht="15">
      <c r="D503" s="316">
        <v>4310</v>
      </c>
      <c r="E503" s="316" t="s">
        <v>178</v>
      </c>
      <c r="F503" s="322">
        <v>28464</v>
      </c>
    </row>
    <row r="504" spans="4:6" ht="15">
      <c r="D504" s="316">
        <v>2328</v>
      </c>
      <c r="E504" s="316" t="s">
        <v>179</v>
      </c>
      <c r="F504" s="322">
        <v>61105</v>
      </c>
    </row>
    <row r="505" spans="4:6" ht="15">
      <c r="D505" s="316">
        <v>12151</v>
      </c>
      <c r="E505" s="316" t="s">
        <v>180</v>
      </c>
      <c r="F505" s="322">
        <v>18701</v>
      </c>
    </row>
    <row r="506" spans="4:6" ht="15">
      <c r="D506" s="316">
        <v>32110</v>
      </c>
      <c r="E506" s="316" t="s">
        <v>181</v>
      </c>
      <c r="F506" s="322">
        <v>230799</v>
      </c>
    </row>
    <row r="507" spans="4:6" ht="15">
      <c r="D507" s="317">
        <v>4215</v>
      </c>
      <c r="E507" s="323" t="s">
        <v>182</v>
      </c>
      <c r="F507" s="322">
        <v>35640</v>
      </c>
    </row>
    <row r="508" spans="4:6" ht="15">
      <c r="D508" s="316">
        <v>2870</v>
      </c>
      <c r="E508" s="316" t="s">
        <v>183</v>
      </c>
      <c r="F508" s="322">
        <v>38943</v>
      </c>
    </row>
    <row r="509" spans="4:6" ht="15">
      <c r="D509" s="316">
        <v>29150</v>
      </c>
      <c r="E509" s="316" t="s">
        <v>184</v>
      </c>
      <c r="F509" s="322">
        <v>9869</v>
      </c>
    </row>
    <row r="510" spans="4:6" ht="15">
      <c r="D510" s="316">
        <v>32118</v>
      </c>
      <c r="E510" s="316" t="s">
        <v>186</v>
      </c>
      <c r="F510" s="322">
        <v>146295</v>
      </c>
    </row>
    <row r="511" spans="4:6" ht="15">
      <c r="D511" s="316">
        <v>12039</v>
      </c>
      <c r="E511" s="316" t="s">
        <v>187</v>
      </c>
      <c r="F511" s="322">
        <v>100556</v>
      </c>
    </row>
    <row r="512" spans="4:6" ht="15">
      <c r="D512" s="316">
        <v>12150</v>
      </c>
      <c r="E512" s="316" t="s">
        <v>188</v>
      </c>
      <c r="F512" s="322">
        <v>19395</v>
      </c>
    </row>
    <row r="513" spans="4:6" ht="15">
      <c r="D513" s="316">
        <v>20060</v>
      </c>
      <c r="E513" s="316" t="s">
        <v>189</v>
      </c>
      <c r="F513" s="322">
        <v>75164</v>
      </c>
    </row>
    <row r="514" spans="4:6" ht="15">
      <c r="D514" s="316">
        <v>1001</v>
      </c>
      <c r="E514" s="316" t="s">
        <v>190</v>
      </c>
      <c r="F514" s="322">
        <v>245536</v>
      </c>
    </row>
    <row r="515" spans="4:6" ht="15">
      <c r="D515" s="316">
        <v>11035</v>
      </c>
      <c r="E515" s="316" t="s">
        <v>191</v>
      </c>
      <c r="F515" s="322">
        <v>480304</v>
      </c>
    </row>
    <row r="516" spans="4:6" ht="15">
      <c r="D516" s="316">
        <v>2320</v>
      </c>
      <c r="E516" s="316" t="s">
        <v>192</v>
      </c>
      <c r="F516" s="322">
        <v>56785</v>
      </c>
    </row>
    <row r="517" spans="4:6" ht="15">
      <c r="D517" s="316">
        <v>28084</v>
      </c>
      <c r="E517" s="316" t="s">
        <v>193</v>
      </c>
      <c r="F517" s="322">
        <v>43314</v>
      </c>
    </row>
    <row r="518" spans="4:6" ht="15">
      <c r="D518" s="316">
        <v>20125</v>
      </c>
      <c r="E518" s="316" t="s">
        <v>194</v>
      </c>
      <c r="F518" s="322">
        <v>72386</v>
      </c>
    </row>
    <row r="519" spans="4:6" ht="15">
      <c r="D519" s="316">
        <v>7445</v>
      </c>
      <c r="E519" s="316" t="s">
        <v>411</v>
      </c>
      <c r="F519" s="322">
        <v>24072</v>
      </c>
    </row>
    <row r="520" spans="4:6" ht="15">
      <c r="D520" s="316">
        <v>9029</v>
      </c>
      <c r="E520" s="316" t="s">
        <v>196</v>
      </c>
      <c r="F520" s="322">
        <v>141850</v>
      </c>
    </row>
    <row r="521" spans="4:6" ht="15">
      <c r="D521" s="316">
        <v>2580</v>
      </c>
      <c r="E521" s="316" t="s">
        <v>197</v>
      </c>
      <c r="F521" s="322">
        <v>16289</v>
      </c>
    </row>
    <row r="522" spans="4:6" ht="15">
      <c r="D522" s="316">
        <v>20312</v>
      </c>
      <c r="E522" s="316" t="s">
        <v>198</v>
      </c>
      <c r="F522" s="322">
        <v>14376</v>
      </c>
    </row>
    <row r="523" spans="4:6" ht="15">
      <c r="D523" s="316">
        <v>26150</v>
      </c>
      <c r="E523" s="316" t="s">
        <v>199</v>
      </c>
      <c r="F523" s="322">
        <v>104139</v>
      </c>
    </row>
    <row r="524" spans="4:6" ht="15">
      <c r="D524" s="316">
        <v>5016</v>
      </c>
      <c r="E524" s="316" t="s">
        <v>200</v>
      </c>
      <c r="F524" s="322">
        <v>12087</v>
      </c>
    </row>
    <row r="525" spans="4:6" ht="15">
      <c r="D525" s="316">
        <v>6150</v>
      </c>
      <c r="E525" s="316" t="s">
        <v>201</v>
      </c>
      <c r="F525" s="322">
        <v>15549</v>
      </c>
    </row>
    <row r="526" spans="4:6" ht="15">
      <c r="D526" s="316">
        <v>4480</v>
      </c>
      <c r="E526" s="316" t="s">
        <v>202</v>
      </c>
      <c r="F526" s="322">
        <v>18915</v>
      </c>
    </row>
    <row r="527" spans="4:6" ht="15">
      <c r="D527" s="316">
        <v>28085</v>
      </c>
      <c r="E527" s="316" t="s">
        <v>203</v>
      </c>
      <c r="F527" s="322">
        <v>37314</v>
      </c>
    </row>
    <row r="528" spans="4:6" ht="15">
      <c r="D528" s="316">
        <v>3240</v>
      </c>
      <c r="E528" s="316" t="s">
        <v>204</v>
      </c>
      <c r="F528" s="322">
        <v>185275</v>
      </c>
    </row>
    <row r="529" spans="4:6" ht="15">
      <c r="D529" s="316">
        <v>12326</v>
      </c>
      <c r="E529" s="316" t="s">
        <v>205</v>
      </c>
      <c r="F529" s="322">
        <v>16819</v>
      </c>
    </row>
    <row r="530" spans="4:6" ht="15">
      <c r="D530" s="317">
        <v>2445</v>
      </c>
      <c r="E530" s="317" t="s">
        <v>446</v>
      </c>
      <c r="F530" s="322">
        <v>10821</v>
      </c>
    </row>
    <row r="531" spans="4:6" ht="15">
      <c r="D531" s="316">
        <v>29123</v>
      </c>
      <c r="E531" s="316" t="s">
        <v>206</v>
      </c>
      <c r="F531" s="322">
        <v>2694156</v>
      </c>
    </row>
    <row r="532" spans="4:6" ht="15">
      <c r="D532" s="316">
        <v>2318</v>
      </c>
      <c r="E532" s="316" t="s">
        <v>207</v>
      </c>
      <c r="F532" s="322">
        <v>69775</v>
      </c>
    </row>
    <row r="533" spans="4:6" ht="15">
      <c r="D533" s="316">
        <v>3250</v>
      </c>
      <c r="E533" s="316" t="s">
        <v>208</v>
      </c>
      <c r="F533" s="322">
        <v>77880</v>
      </c>
    </row>
    <row r="534" spans="4:6" ht="15">
      <c r="D534" s="316">
        <v>2313</v>
      </c>
      <c r="E534" s="316" t="s">
        <v>209</v>
      </c>
      <c r="F534" s="322">
        <v>10073</v>
      </c>
    </row>
    <row r="535" spans="4:6" ht="15">
      <c r="D535" s="316">
        <v>4011</v>
      </c>
      <c r="E535" s="316" t="s">
        <v>210</v>
      </c>
      <c r="F535" s="322">
        <v>1533966</v>
      </c>
    </row>
    <row r="536" spans="4:6" ht="15">
      <c r="D536" s="316">
        <v>31092</v>
      </c>
      <c r="E536" s="316" t="s">
        <v>211</v>
      </c>
      <c r="F536" s="322">
        <v>22585</v>
      </c>
    </row>
    <row r="537" spans="4:6" ht="15">
      <c r="D537" s="316">
        <v>26081</v>
      </c>
      <c r="E537" s="316" t="s">
        <v>212</v>
      </c>
      <c r="F537" s="322">
        <v>277285</v>
      </c>
    </row>
    <row r="538" spans="4:6" ht="15">
      <c r="D538" s="316">
        <v>29305</v>
      </c>
      <c r="E538" s="316" t="s">
        <v>213</v>
      </c>
      <c r="F538" s="322">
        <v>16211</v>
      </c>
    </row>
    <row r="539" spans="4:6" ht="15">
      <c r="D539" s="316">
        <v>10032</v>
      </c>
      <c r="E539" s="316" t="s">
        <v>214</v>
      </c>
      <c r="F539" s="322">
        <v>29693</v>
      </c>
    </row>
    <row r="540" spans="4:6" ht="15">
      <c r="D540" s="316">
        <v>32107</v>
      </c>
      <c r="E540" s="316" t="s">
        <v>215</v>
      </c>
      <c r="F540" s="322">
        <v>42219</v>
      </c>
    </row>
    <row r="541" spans="4:6" ht="15">
      <c r="D541" s="316">
        <v>3260</v>
      </c>
      <c r="E541" s="316" t="s">
        <v>216</v>
      </c>
      <c r="F541" s="322">
        <v>612811</v>
      </c>
    </row>
    <row r="542" spans="4:6" ht="15">
      <c r="D542" s="316">
        <v>4390</v>
      </c>
      <c r="E542" s="316" t="s">
        <v>217</v>
      </c>
      <c r="F542" s="322">
        <v>5107</v>
      </c>
    </row>
    <row r="543" spans="4:6" ht="15">
      <c r="D543" s="316">
        <v>3270</v>
      </c>
      <c r="E543" s="316" t="s">
        <v>218</v>
      </c>
      <c r="F543" s="322">
        <v>101735</v>
      </c>
    </row>
    <row r="544" spans="4:6" ht="15">
      <c r="D544" s="316">
        <v>29303</v>
      </c>
      <c r="E544" s="316" t="s">
        <v>219</v>
      </c>
      <c r="F544" s="322">
        <v>32380</v>
      </c>
    </row>
    <row r="545" spans="4:6" ht="15">
      <c r="D545" s="316">
        <v>3280</v>
      </c>
      <c r="E545" s="316" t="s">
        <v>423</v>
      </c>
      <c r="F545" s="322">
        <v>451384</v>
      </c>
    </row>
    <row r="546" spans="4:6" ht="15">
      <c r="D546" s="316">
        <v>4260</v>
      </c>
      <c r="E546" s="316" t="s">
        <v>221</v>
      </c>
      <c r="F546" s="322">
        <v>34671</v>
      </c>
    </row>
    <row r="547" spans="4:6" ht="15">
      <c r="D547" s="316">
        <v>1003</v>
      </c>
      <c r="E547" s="316" t="s">
        <v>222</v>
      </c>
      <c r="F547" s="322">
        <v>500060</v>
      </c>
    </row>
    <row r="548" spans="4:6" ht="15">
      <c r="D548" s="316">
        <v>3290</v>
      </c>
      <c r="E548" s="316" t="s">
        <v>223</v>
      </c>
      <c r="F548" s="322">
        <v>937521</v>
      </c>
    </row>
    <row r="549" spans="4:6" ht="15">
      <c r="D549" s="316">
        <v>1002</v>
      </c>
      <c r="E549" s="316" t="s">
        <v>224</v>
      </c>
      <c r="F549" s="322">
        <v>1933468</v>
      </c>
    </row>
    <row r="550" spans="4:6" ht="15">
      <c r="D550" s="316">
        <v>4270</v>
      </c>
      <c r="E550" s="315" t="s">
        <v>424</v>
      </c>
      <c r="F550" s="322">
        <v>38336</v>
      </c>
    </row>
    <row r="551" spans="4:6" ht="15">
      <c r="D551" s="316">
        <v>24072</v>
      </c>
      <c r="E551" s="316" t="s">
        <v>225</v>
      </c>
      <c r="F551" s="322">
        <v>141975</v>
      </c>
    </row>
    <row r="552" spans="4:6" ht="15">
      <c r="D552" s="316">
        <v>14366</v>
      </c>
      <c r="E552" s="316" t="s">
        <v>226</v>
      </c>
      <c r="F552" s="322">
        <v>94490</v>
      </c>
    </row>
    <row r="553" spans="4:6" ht="15">
      <c r="D553" s="316">
        <v>4317</v>
      </c>
      <c r="E553" s="316" t="s">
        <v>227</v>
      </c>
      <c r="F553" s="322">
        <v>25153</v>
      </c>
    </row>
    <row r="554" spans="4:6" ht="15">
      <c r="D554" s="316">
        <v>32120</v>
      </c>
      <c r="E554" s="316" t="s">
        <v>228</v>
      </c>
      <c r="F554" s="322">
        <v>35790</v>
      </c>
    </row>
    <row r="555" spans="4:6" ht="15">
      <c r="D555" s="316">
        <v>3300</v>
      </c>
      <c r="E555" s="316" t="s">
        <v>425</v>
      </c>
      <c r="F555" s="322">
        <v>67030</v>
      </c>
    </row>
    <row r="556" spans="4:6" ht="15">
      <c r="D556" s="316">
        <v>8026</v>
      </c>
      <c r="E556" s="316" t="s">
        <v>230</v>
      </c>
      <c r="F556" s="322">
        <v>384166</v>
      </c>
    </row>
    <row r="557" spans="4:6" ht="15">
      <c r="D557" s="316">
        <v>32119</v>
      </c>
      <c r="E557" s="316" t="s">
        <v>231</v>
      </c>
      <c r="F557" s="322">
        <v>15085</v>
      </c>
    </row>
    <row r="558" spans="4:6" ht="15">
      <c r="D558" s="316">
        <v>25076</v>
      </c>
      <c r="E558" s="316" t="s">
        <v>232</v>
      </c>
      <c r="F558" s="322">
        <v>244618</v>
      </c>
    </row>
    <row r="559" spans="4:6" ht="15">
      <c r="D559" s="316">
        <v>2440</v>
      </c>
      <c r="E559" s="318" t="s">
        <v>401</v>
      </c>
      <c r="F559" s="322">
        <v>38947</v>
      </c>
    </row>
    <row r="560" spans="4:6" ht="15">
      <c r="D560" s="316">
        <v>2309</v>
      </c>
      <c r="E560" s="316" t="s">
        <v>233</v>
      </c>
      <c r="F560" s="322">
        <v>99022</v>
      </c>
    </row>
    <row r="561" spans="4:6" ht="15">
      <c r="D561" s="316">
        <v>2396</v>
      </c>
      <c r="E561" s="316" t="s">
        <v>234</v>
      </c>
      <c r="F561" s="322">
        <v>30148</v>
      </c>
    </row>
    <row r="562" spans="4:6" ht="15">
      <c r="D562" s="316">
        <v>3380</v>
      </c>
      <c r="E562" s="316" t="s">
        <v>235</v>
      </c>
      <c r="F562" s="322">
        <v>18467</v>
      </c>
    </row>
    <row r="563" spans="4:6" ht="15">
      <c r="D563" s="316">
        <v>2420</v>
      </c>
      <c r="E563" s="316" t="s">
        <v>236</v>
      </c>
      <c r="F563" s="322">
        <v>28841</v>
      </c>
    </row>
    <row r="564" spans="4:6" ht="15">
      <c r="D564" s="316">
        <v>2740</v>
      </c>
      <c r="E564" s="316" t="s">
        <v>237</v>
      </c>
      <c r="F564" s="322">
        <v>4714</v>
      </c>
    </row>
    <row r="565" spans="4:6" ht="15">
      <c r="D565" s="316">
        <v>2346</v>
      </c>
      <c r="E565" s="316" t="s">
        <v>238</v>
      </c>
      <c r="F565" s="322">
        <v>23929</v>
      </c>
    </row>
    <row r="566" spans="4:6" ht="15">
      <c r="D566" s="316">
        <v>21150</v>
      </c>
      <c r="E566" s="316" t="s">
        <v>239</v>
      </c>
      <c r="F566" s="322">
        <v>58709</v>
      </c>
    </row>
    <row r="567" spans="4:6" ht="15">
      <c r="D567" s="316">
        <v>32098</v>
      </c>
      <c r="E567" s="316" t="s">
        <v>240</v>
      </c>
      <c r="F567" s="322">
        <v>28335</v>
      </c>
    </row>
    <row r="568" spans="4:6" ht="15">
      <c r="D568" s="316">
        <v>4520</v>
      </c>
      <c r="E568" s="316" t="s">
        <v>241</v>
      </c>
      <c r="F568" s="322">
        <v>3182</v>
      </c>
    </row>
    <row r="569" spans="4:6" ht="15">
      <c r="D569" s="316">
        <v>9030</v>
      </c>
      <c r="E569" s="316" t="s">
        <v>242</v>
      </c>
      <c r="F569" s="322">
        <v>30170</v>
      </c>
    </row>
    <row r="570" spans="4:6" ht="15">
      <c r="D570" s="316">
        <v>20265</v>
      </c>
      <c r="E570" s="316" t="s">
        <v>243</v>
      </c>
      <c r="F570" s="322">
        <v>44382</v>
      </c>
    </row>
    <row r="571" spans="4:6" ht="15">
      <c r="D571" s="316">
        <v>20307</v>
      </c>
      <c r="E571" s="316" t="s">
        <v>244</v>
      </c>
      <c r="F571" s="322">
        <v>36230</v>
      </c>
    </row>
    <row r="572" spans="4:6" ht="15">
      <c r="D572" s="316">
        <v>3320</v>
      </c>
      <c r="E572" s="316" t="s">
        <v>245</v>
      </c>
      <c r="F572" s="322">
        <v>200086</v>
      </c>
    </row>
    <row r="573" spans="4:6" ht="15">
      <c r="D573" s="316">
        <v>20415</v>
      </c>
      <c r="E573" s="316" t="s">
        <v>246</v>
      </c>
      <c r="F573" s="322">
        <v>28341</v>
      </c>
    </row>
    <row r="574" spans="4:6" ht="15">
      <c r="D574" s="316">
        <v>20435</v>
      </c>
      <c r="E574" s="316" t="s">
        <v>418</v>
      </c>
      <c r="F574" s="322">
        <v>36921</v>
      </c>
    </row>
    <row r="575" spans="4:6" ht="15">
      <c r="D575" s="316">
        <v>20062</v>
      </c>
      <c r="E575" s="316" t="s">
        <v>247</v>
      </c>
      <c r="F575" s="322">
        <v>334803</v>
      </c>
    </row>
    <row r="576" spans="4:6" ht="15">
      <c r="D576" s="316">
        <v>6020</v>
      </c>
      <c r="E576" s="316" t="s">
        <v>248</v>
      </c>
      <c r="F576" s="322">
        <v>67142</v>
      </c>
    </row>
    <row r="577" spans="4:6" ht="15">
      <c r="D577" s="316">
        <v>2394</v>
      </c>
      <c r="E577" s="316" t="s">
        <v>249</v>
      </c>
      <c r="F577" s="322">
        <v>38000</v>
      </c>
    </row>
    <row r="578" spans="4:6" ht="15">
      <c r="D578" s="316">
        <v>5015</v>
      </c>
      <c r="E578" s="316" t="s">
        <v>250</v>
      </c>
      <c r="F578" s="322">
        <v>90154</v>
      </c>
    </row>
    <row r="579" spans="4:6" ht="15">
      <c r="D579" s="316">
        <v>29408</v>
      </c>
      <c r="E579" s="316" t="s">
        <v>251</v>
      </c>
      <c r="F579" s="322">
        <v>63831</v>
      </c>
    </row>
    <row r="580" spans="4:6" ht="15">
      <c r="D580" s="316">
        <v>2413</v>
      </c>
      <c r="E580" s="316" t="s">
        <v>252</v>
      </c>
      <c r="F580" s="322">
        <v>16618</v>
      </c>
    </row>
    <row r="581" spans="4:6" ht="15">
      <c r="D581" s="316">
        <v>1398</v>
      </c>
      <c r="E581" s="316" t="s">
        <v>253</v>
      </c>
      <c r="F581" s="322">
        <v>32006</v>
      </c>
    </row>
    <row r="582" spans="4:6" ht="15">
      <c r="D582" s="316">
        <v>2366</v>
      </c>
      <c r="E582" s="316" t="s">
        <v>254</v>
      </c>
      <c r="F582" s="322">
        <v>26492</v>
      </c>
    </row>
    <row r="583" spans="4:6" ht="15">
      <c r="D583" s="316">
        <v>7421</v>
      </c>
      <c r="E583" s="316" t="s">
        <v>255</v>
      </c>
      <c r="F583" s="322">
        <v>21814</v>
      </c>
    </row>
    <row r="584" spans="4:6" ht="15">
      <c r="D584" s="317">
        <v>1425</v>
      </c>
      <c r="E584" s="317" t="s">
        <v>445</v>
      </c>
      <c r="F584" s="322">
        <v>19232</v>
      </c>
    </row>
    <row r="585" spans="4:6" ht="15">
      <c r="D585" s="316">
        <v>2370</v>
      </c>
      <c r="E585" s="316" t="s">
        <v>256</v>
      </c>
      <c r="F585" s="322">
        <v>37217</v>
      </c>
    </row>
    <row r="586" spans="4:6" ht="15">
      <c r="D586" s="316">
        <v>32094</v>
      </c>
      <c r="E586" s="316" t="s">
        <v>257</v>
      </c>
      <c r="F586" s="322">
        <v>49921</v>
      </c>
    </row>
    <row r="587" spans="4:6" ht="15">
      <c r="D587" s="316">
        <v>2790</v>
      </c>
      <c r="E587" s="316" t="s">
        <v>258</v>
      </c>
      <c r="F587" s="322">
        <v>4682</v>
      </c>
    </row>
    <row r="588" spans="4:6" ht="15">
      <c r="D588" s="316">
        <v>3330</v>
      </c>
      <c r="E588" s="316" t="s">
        <v>259</v>
      </c>
      <c r="F588" s="322">
        <v>97742</v>
      </c>
    </row>
    <row r="589" spans="4:6" ht="15">
      <c r="D589" s="316">
        <v>2080</v>
      </c>
      <c r="E589" s="316" t="s">
        <v>260</v>
      </c>
      <c r="F589" s="322">
        <v>106807</v>
      </c>
    </row>
    <row r="590" spans="4:6" ht="15">
      <c r="D590" s="316">
        <v>4290</v>
      </c>
      <c r="E590" s="316" t="s">
        <v>261</v>
      </c>
      <c r="F590" s="322">
        <v>47676</v>
      </c>
    </row>
    <row r="591" spans="4:6" ht="15">
      <c r="D591" s="316">
        <v>2270</v>
      </c>
      <c r="E591" s="316" t="s">
        <v>262</v>
      </c>
      <c r="F591" s="322">
        <v>1926</v>
      </c>
    </row>
    <row r="592" spans="4:6" ht="15">
      <c r="D592" s="316">
        <v>2300</v>
      </c>
      <c r="E592" s="316" t="s">
        <v>263</v>
      </c>
      <c r="F592" s="322">
        <v>13416</v>
      </c>
    </row>
    <row r="593" spans="4:6" ht="15">
      <c r="D593" s="316">
        <v>2720</v>
      </c>
      <c r="E593" s="316" t="s">
        <v>264</v>
      </c>
      <c r="F593" s="322">
        <v>155179</v>
      </c>
    </row>
    <row r="594" spans="4:6" ht="15">
      <c r="D594" s="316">
        <v>2750</v>
      </c>
      <c r="E594" s="316" t="s">
        <v>265</v>
      </c>
      <c r="F594" s="322">
        <v>11637</v>
      </c>
    </row>
    <row r="595" spans="4:6" ht="15">
      <c r="D595" s="316">
        <v>2770</v>
      </c>
      <c r="E595" s="316" t="s">
        <v>266</v>
      </c>
      <c r="F595" s="322">
        <v>130067</v>
      </c>
    </row>
    <row r="596" spans="4:6" ht="15">
      <c r="D596" s="316">
        <v>32106</v>
      </c>
      <c r="E596" s="316" t="s">
        <v>267</v>
      </c>
      <c r="F596" s="322">
        <v>12065</v>
      </c>
    </row>
    <row r="597" spans="4:6" ht="15">
      <c r="D597" s="316">
        <v>4180</v>
      </c>
      <c r="E597" s="316" t="s">
        <v>268</v>
      </c>
      <c r="F597" s="322">
        <v>14817</v>
      </c>
    </row>
    <row r="598" spans="4:6" ht="15">
      <c r="D598" s="316">
        <v>21063</v>
      </c>
      <c r="E598" s="316" t="s">
        <v>269</v>
      </c>
      <c r="F598" s="322">
        <v>210631</v>
      </c>
    </row>
    <row r="599" spans="4:6" ht="15">
      <c r="D599" s="316">
        <v>10033</v>
      </c>
      <c r="E599" s="316" t="s">
        <v>270</v>
      </c>
      <c r="F599" s="322">
        <v>152929</v>
      </c>
    </row>
    <row r="600" spans="4:6" ht="15">
      <c r="D600" s="316">
        <v>15049</v>
      </c>
      <c r="E600" s="316" t="s">
        <v>271</v>
      </c>
      <c r="F600" s="322">
        <v>171296</v>
      </c>
    </row>
    <row r="601" spans="4:6" ht="15">
      <c r="D601" s="316">
        <v>1315</v>
      </c>
      <c r="E601" s="316" t="s">
        <v>272</v>
      </c>
      <c r="F601" s="322">
        <v>102978</v>
      </c>
    </row>
    <row r="602" spans="4:6" ht="15">
      <c r="D602" s="316">
        <v>3340</v>
      </c>
      <c r="E602" s="316" t="s">
        <v>273</v>
      </c>
      <c r="F602" s="322">
        <v>33016</v>
      </c>
    </row>
    <row r="603" spans="4:6" ht="15">
      <c r="D603" s="316">
        <v>3350</v>
      </c>
      <c r="E603" s="316" t="s">
        <v>274</v>
      </c>
      <c r="F603" s="322">
        <v>229917</v>
      </c>
    </row>
    <row r="604" spans="4:6" ht="15">
      <c r="D604" s="316">
        <v>24073</v>
      </c>
      <c r="E604" s="316" t="s">
        <v>275</v>
      </c>
      <c r="F604" s="322">
        <v>28054</v>
      </c>
    </row>
    <row r="605" spans="4:6" ht="15">
      <c r="D605" s="316">
        <v>2100</v>
      </c>
      <c r="E605" s="316" t="s">
        <v>276</v>
      </c>
      <c r="F605" s="322">
        <v>29722</v>
      </c>
    </row>
    <row r="606" spans="4:6" ht="15">
      <c r="D606" s="316">
        <v>2130</v>
      </c>
      <c r="E606" s="316" t="s">
        <v>277</v>
      </c>
      <c r="F606" s="322">
        <v>7569</v>
      </c>
    </row>
    <row r="607" spans="4:6" ht="15">
      <c r="D607" s="316">
        <v>32099</v>
      </c>
      <c r="E607" s="316" t="s">
        <v>278</v>
      </c>
      <c r="F607" s="322">
        <v>11862</v>
      </c>
    </row>
    <row r="608" spans="4:6" ht="15">
      <c r="D608" s="316">
        <v>32100</v>
      </c>
      <c r="E608" s="316" t="s">
        <v>279</v>
      </c>
      <c r="F608" s="322">
        <v>23159</v>
      </c>
    </row>
    <row r="609" spans="4:6" ht="15">
      <c r="D609" s="316">
        <v>32101</v>
      </c>
      <c r="E609" s="316" t="s">
        <v>280</v>
      </c>
      <c r="F609" s="322">
        <v>9118</v>
      </c>
    </row>
    <row r="610" spans="4:6" ht="15">
      <c r="D610" s="316">
        <v>32102</v>
      </c>
      <c r="E610" s="316" t="s">
        <v>281</v>
      </c>
      <c r="F610" s="322">
        <v>12479</v>
      </c>
    </row>
    <row r="611" spans="4:6" ht="15">
      <c r="D611" s="316">
        <v>2880</v>
      </c>
      <c r="E611" s="316" t="s">
        <v>282</v>
      </c>
      <c r="F611" s="322">
        <v>4081</v>
      </c>
    </row>
    <row r="612" spans="4:6" ht="15">
      <c r="D612" s="316">
        <v>2490</v>
      </c>
      <c r="E612" s="316" t="s">
        <v>283</v>
      </c>
      <c r="F612" s="322">
        <v>33127</v>
      </c>
    </row>
    <row r="613" spans="4:6" ht="15">
      <c r="D613" s="316">
        <v>2530</v>
      </c>
      <c r="E613" s="316" t="s">
        <v>284</v>
      </c>
      <c r="F613" s="322">
        <v>5918</v>
      </c>
    </row>
    <row r="614" spans="4:6" ht="15">
      <c r="D614" s="316">
        <v>2560</v>
      </c>
      <c r="E614" s="316" t="s">
        <v>285</v>
      </c>
      <c r="F614" s="322">
        <v>13600</v>
      </c>
    </row>
    <row r="615" spans="4:6" ht="15">
      <c r="D615" s="316">
        <v>2610</v>
      </c>
      <c r="E615" s="316" t="s">
        <v>286</v>
      </c>
      <c r="F615" s="322">
        <v>3707</v>
      </c>
    </row>
    <row r="616" spans="4:6" ht="15">
      <c r="D616" s="316">
        <v>2800</v>
      </c>
      <c r="E616" s="316" t="s">
        <v>287</v>
      </c>
      <c r="F616" s="322">
        <v>11666</v>
      </c>
    </row>
    <row r="617" spans="4:6" ht="15">
      <c r="D617" s="316">
        <v>20317</v>
      </c>
      <c r="E617" s="316" t="s">
        <v>288</v>
      </c>
      <c r="F617" s="322">
        <v>21941</v>
      </c>
    </row>
    <row r="618" spans="4:6" ht="15">
      <c r="D618" s="316">
        <v>2442</v>
      </c>
      <c r="E618" s="315" t="s">
        <v>426</v>
      </c>
      <c r="F618" s="322">
        <v>10383</v>
      </c>
    </row>
    <row r="619" spans="4:6" ht="15">
      <c r="D619" s="316">
        <v>30090</v>
      </c>
      <c r="E619" s="316" t="s">
        <v>289</v>
      </c>
      <c r="F619" s="322">
        <v>33872</v>
      </c>
    </row>
    <row r="620" spans="4:6" ht="15">
      <c r="D620" s="316">
        <v>29330</v>
      </c>
      <c r="E620" s="316" t="s">
        <v>290</v>
      </c>
      <c r="F620" s="322">
        <v>15450</v>
      </c>
    </row>
    <row r="621" spans="4:6" ht="15">
      <c r="D621" s="316">
        <v>12038</v>
      </c>
      <c r="E621" s="316" t="s">
        <v>291</v>
      </c>
      <c r="F621" s="322">
        <v>285702</v>
      </c>
    </row>
    <row r="622" spans="4:6" ht="15">
      <c r="D622" s="316">
        <v>8099</v>
      </c>
      <c r="E622" s="316" t="s">
        <v>292</v>
      </c>
      <c r="F622" s="322">
        <v>484413</v>
      </c>
    </row>
    <row r="623" spans="4:6" ht="15">
      <c r="D623" s="316">
        <v>2417</v>
      </c>
      <c r="E623" s="319" t="s">
        <v>293</v>
      </c>
      <c r="F623" s="322">
        <v>9614</v>
      </c>
    </row>
    <row r="624" spans="4:6" ht="15">
      <c r="D624" s="316">
        <v>13142</v>
      </c>
      <c r="E624" s="319" t="s">
        <v>294</v>
      </c>
      <c r="F624" s="321">
        <v>297094</v>
      </c>
    </row>
    <row r="625" spans="6:6">
      <c r="F625" s="244">
        <f>SUM(F317:F624)</f>
        <v>114542451</v>
      </c>
    </row>
    <row r="626" spans="6:6">
      <c r="F626" s="313">
        <f>+C314</f>
        <v>114542451</v>
      </c>
    </row>
    <row r="627" spans="6:6">
      <c r="F627" s="306">
        <f>+F625-F626</f>
        <v>0</v>
      </c>
    </row>
  </sheetData>
  <mergeCells count="3">
    <mergeCell ref="A1:D1"/>
    <mergeCell ref="A2:D2"/>
    <mergeCell ref="A3:D3"/>
  </mergeCells>
  <printOptions horizontalCentered="1"/>
  <pageMargins left="0.7" right="0.7" top="0.5" bottom="0.5" header="0.5" footer="0.5"/>
  <pageSetup scale="73" firstPageNumber="4" orientation="portrait" useFirstPageNumber="1" r:id="rId1"/>
  <headerFooter scaleWithDoc="0">
    <oddFooter>&amp;C&amp;"Arial,Regular"&amp;10&amp;P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5" max="3" man="1"/>
    <brk id="199" max="3" man="1"/>
    <brk id="257" max="3" man="1"/>
  </rowBreaks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2D5C-EC6D-445B-991D-89C0747B4EA8}">
  <sheetPr>
    <tabColor rgb="FF92D050"/>
  </sheetPr>
  <dimension ref="A3:D17"/>
  <sheetViews>
    <sheetView workbookViewId="0">
      <selection activeCell="D567" sqref="D567"/>
    </sheetView>
  </sheetViews>
  <sheetFormatPr defaultRowHeight="15"/>
  <cols>
    <col min="1" max="1" width="3.42578125" customWidth="1"/>
    <col min="2" max="2" width="33.42578125" bestFit="1" customWidth="1"/>
    <col min="3" max="3" width="10.5703125" customWidth="1"/>
    <col min="4" max="4" width="10.42578125" customWidth="1"/>
  </cols>
  <sheetData>
    <row r="3" spans="1:4">
      <c r="A3" s="287" t="s">
        <v>452</v>
      </c>
      <c r="B3" s="288"/>
      <c r="C3" s="288"/>
      <c r="D3" s="289"/>
    </row>
    <row r="4" spans="1:4">
      <c r="A4" s="288"/>
      <c r="B4" s="101" t="s">
        <v>453</v>
      </c>
      <c r="C4" s="288"/>
      <c r="D4" s="312">
        <v>52978</v>
      </c>
    </row>
    <row r="5" spans="1:4">
      <c r="A5" s="288"/>
      <c r="B5" s="101" t="s">
        <v>454</v>
      </c>
      <c r="C5" s="288"/>
      <c r="D5" s="312">
        <v>12552</v>
      </c>
    </row>
    <row r="6" spans="1:4">
      <c r="A6" s="288"/>
      <c r="B6" s="101" t="s">
        <v>455</v>
      </c>
      <c r="C6" s="288"/>
      <c r="D6" s="311">
        <v>93595</v>
      </c>
    </row>
    <row r="7" spans="1:4" ht="15.75" thickBot="1">
      <c r="A7" s="288"/>
      <c r="B7" s="288"/>
      <c r="C7" s="288"/>
      <c r="D7" s="290">
        <f>SUM(D4:D6)</f>
        <v>159125</v>
      </c>
    </row>
    <row r="8" spans="1:4" ht="15.75" thickTop="1"/>
    <row r="9" spans="1:4">
      <c r="A9" s="291" t="s">
        <v>456</v>
      </c>
      <c r="B9" s="288"/>
      <c r="C9" s="288"/>
      <c r="D9" s="292"/>
    </row>
    <row r="10" spans="1:4">
      <c r="A10" s="288"/>
      <c r="B10" s="101" t="s">
        <v>457</v>
      </c>
      <c r="C10" s="288"/>
      <c r="D10" s="312">
        <v>18462</v>
      </c>
    </row>
    <row r="11" spans="1:4">
      <c r="A11" s="288"/>
      <c r="B11" s="101" t="s">
        <v>458</v>
      </c>
      <c r="C11" s="288"/>
      <c r="D11" s="312">
        <v>1260</v>
      </c>
    </row>
    <row r="12" spans="1:4">
      <c r="A12" s="288"/>
      <c r="B12" s="101" t="s">
        <v>459</v>
      </c>
      <c r="C12" s="288"/>
      <c r="D12" s="312">
        <v>17283</v>
      </c>
    </row>
    <row r="13" spans="1:4">
      <c r="A13" s="288"/>
      <c r="B13" s="101" t="s">
        <v>460</v>
      </c>
      <c r="C13" s="288"/>
      <c r="D13" s="312">
        <v>3169</v>
      </c>
    </row>
    <row r="14" spans="1:4">
      <c r="A14" s="288"/>
      <c r="B14" s="101" t="s">
        <v>461</v>
      </c>
      <c r="C14" s="288"/>
      <c r="D14" s="312">
        <v>2419</v>
      </c>
    </row>
    <row r="15" spans="1:4">
      <c r="A15" s="288"/>
      <c r="B15" s="101" t="s">
        <v>462</v>
      </c>
      <c r="C15" s="288"/>
      <c r="D15" s="311">
        <v>51002</v>
      </c>
    </row>
    <row r="16" spans="1:4" ht="15.75" thickBot="1">
      <c r="A16" s="288"/>
      <c r="B16" s="288"/>
      <c r="C16" s="288"/>
      <c r="D16" s="290">
        <f>SUM(D10:D15)</f>
        <v>93595</v>
      </c>
    </row>
    <row r="17" ht="15.75" thickTop="1"/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E24"/>
  <sheetViews>
    <sheetView workbookViewId="0">
      <selection activeCell="D567" sqref="D567"/>
    </sheetView>
  </sheetViews>
  <sheetFormatPr defaultRowHeight="15"/>
  <cols>
    <col min="1" max="3" width="2.5703125" customWidth="1"/>
    <col min="4" max="4" width="25.5703125" customWidth="1"/>
    <col min="5" max="5" width="52.42578125" customWidth="1"/>
  </cols>
  <sheetData>
    <row r="2" spans="1:5" s="161" customFormat="1">
      <c r="A2" s="216" t="s">
        <v>410</v>
      </c>
      <c r="E2" s="145" t="s">
        <v>465</v>
      </c>
    </row>
    <row r="3" spans="1:5" s="161" customFormat="1"/>
    <row r="4" spans="1:5">
      <c r="A4" s="93" t="s">
        <v>332</v>
      </c>
      <c r="B4" s="93"/>
      <c r="C4" s="93"/>
      <c r="D4" s="92"/>
      <c r="E4" s="94" t="s">
        <v>333</v>
      </c>
    </row>
    <row r="5" spans="1:5">
      <c r="A5" s="93"/>
      <c r="B5" s="93"/>
      <c r="C5" s="93"/>
      <c r="D5" s="93"/>
      <c r="E5" s="94" t="s">
        <v>334</v>
      </c>
    </row>
    <row r="6" spans="1:5" ht="6" customHeight="1">
      <c r="A6" s="93" t="s">
        <v>331</v>
      </c>
      <c r="B6" s="93"/>
      <c r="C6" s="93"/>
      <c r="D6" s="93"/>
      <c r="E6" s="92"/>
    </row>
    <row r="7" spans="1:5">
      <c r="A7" s="93" t="s">
        <v>335</v>
      </c>
      <c r="B7" s="92"/>
      <c r="C7" s="92"/>
      <c r="D7" s="92"/>
      <c r="E7" s="94" t="s">
        <v>336</v>
      </c>
    </row>
    <row r="8" spans="1:5" ht="7.35" customHeight="1">
      <c r="A8" s="93"/>
      <c r="B8" s="93"/>
      <c r="C8" s="93"/>
      <c r="D8" s="93"/>
      <c r="E8" s="92"/>
    </row>
    <row r="9" spans="1:5">
      <c r="A9" s="94" t="s">
        <v>337</v>
      </c>
      <c r="B9" s="92"/>
      <c r="C9" s="92"/>
      <c r="D9" s="92"/>
      <c r="E9" s="92"/>
    </row>
    <row r="10" spans="1:5">
      <c r="A10" s="92"/>
      <c r="B10" s="94" t="s">
        <v>338</v>
      </c>
      <c r="C10" s="92"/>
      <c r="D10" s="92"/>
      <c r="E10" s="95" t="s">
        <v>429</v>
      </c>
    </row>
    <row r="11" spans="1:5">
      <c r="A11" s="92"/>
      <c r="B11" s="94" t="s">
        <v>359</v>
      </c>
      <c r="C11" s="92"/>
      <c r="D11" s="92"/>
      <c r="E11" s="95" t="s">
        <v>471</v>
      </c>
    </row>
    <row r="12" spans="1:5">
      <c r="A12" s="92"/>
      <c r="B12" s="94"/>
      <c r="C12" s="92"/>
      <c r="D12" s="92"/>
      <c r="E12" s="95" t="s">
        <v>389</v>
      </c>
    </row>
    <row r="13" spans="1:5">
      <c r="B13" s="94" t="s">
        <v>339</v>
      </c>
      <c r="C13" s="92"/>
      <c r="D13" s="92"/>
      <c r="E13" s="95" t="s">
        <v>430</v>
      </c>
    </row>
    <row r="14" spans="1:5">
      <c r="B14" s="92"/>
      <c r="C14" s="92"/>
      <c r="D14" s="92"/>
      <c r="E14" s="95" t="s">
        <v>340</v>
      </c>
    </row>
    <row r="15" spans="1:5">
      <c r="B15" s="147" t="s">
        <v>360</v>
      </c>
      <c r="C15" s="148"/>
      <c r="D15" s="148"/>
      <c r="E15" s="149" t="s">
        <v>472</v>
      </c>
    </row>
    <row r="16" spans="1:5">
      <c r="B16" s="148"/>
      <c r="C16" s="148"/>
      <c r="D16" s="148"/>
      <c r="E16" s="149" t="s">
        <v>474</v>
      </c>
    </row>
    <row r="17" spans="2:5">
      <c r="B17" s="148"/>
      <c r="C17" s="148"/>
      <c r="D17" s="148"/>
      <c r="E17" s="149" t="s">
        <v>473</v>
      </c>
    </row>
    <row r="18" spans="2:5">
      <c r="B18" s="147" t="s">
        <v>364</v>
      </c>
      <c r="C18" s="150"/>
      <c r="D18" s="150"/>
      <c r="E18" s="149" t="s">
        <v>431</v>
      </c>
    </row>
    <row r="19" spans="2:5">
      <c r="B19" s="150"/>
      <c r="C19" s="150"/>
      <c r="D19" s="150"/>
      <c r="E19" s="149" t="s">
        <v>435</v>
      </c>
    </row>
    <row r="20" spans="2:5">
      <c r="B20" s="150"/>
      <c r="C20" s="150"/>
      <c r="D20" s="150"/>
      <c r="E20" s="149" t="s">
        <v>438</v>
      </c>
    </row>
    <row r="21" spans="2:5" s="190" customFormat="1">
      <c r="B21" s="150"/>
      <c r="C21" s="150"/>
      <c r="D21" s="150"/>
      <c r="E21" s="149" t="s">
        <v>439</v>
      </c>
    </row>
    <row r="22" spans="2:5">
      <c r="B22" s="150"/>
      <c r="C22" s="150"/>
      <c r="D22" s="150"/>
      <c r="E22" s="149" t="s">
        <v>433</v>
      </c>
    </row>
    <row r="23" spans="2:5">
      <c r="E23" s="149" t="s">
        <v>434</v>
      </c>
    </row>
    <row r="24" spans="2:5">
      <c r="E24" s="149" t="s">
        <v>432</v>
      </c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I10"/>
  <sheetViews>
    <sheetView workbookViewId="0">
      <selection activeCell="D567" sqref="D567"/>
    </sheetView>
  </sheetViews>
  <sheetFormatPr defaultRowHeight="15"/>
  <cols>
    <col min="1" max="3" width="3.42578125" customWidth="1"/>
    <col min="5" max="5" width="28.42578125" customWidth="1"/>
    <col min="6" max="6" width="16.42578125" bestFit="1" customWidth="1"/>
    <col min="8" max="8" width="15.42578125" bestFit="1" customWidth="1"/>
  </cols>
  <sheetData>
    <row r="2" spans="1:9">
      <c r="A2" s="96"/>
      <c r="B2" s="96"/>
      <c r="C2" s="96"/>
      <c r="D2" s="96"/>
      <c r="E2" s="96"/>
      <c r="F2" s="360"/>
    </row>
    <row r="3" spans="1:9">
      <c r="A3" s="110"/>
      <c r="B3" s="110"/>
      <c r="C3" s="110"/>
      <c r="D3" s="110"/>
      <c r="E3" s="110"/>
      <c r="F3" s="98"/>
    </row>
    <row r="4" spans="1:9">
      <c r="A4" s="97" t="s">
        <v>341</v>
      </c>
      <c r="B4" s="96"/>
      <c r="C4" s="96"/>
      <c r="D4" s="96"/>
      <c r="E4" s="96"/>
      <c r="F4" s="307">
        <v>3366766868</v>
      </c>
    </row>
    <row r="5" spans="1:9">
      <c r="A5" s="97" t="s">
        <v>342</v>
      </c>
      <c r="B5" s="96"/>
      <c r="C5" s="96"/>
      <c r="D5" s="96"/>
      <c r="E5" s="96"/>
      <c r="F5" s="310">
        <v>1581966829</v>
      </c>
    </row>
    <row r="6" spans="1:9" s="190" customFormat="1">
      <c r="A6" s="97"/>
      <c r="B6" s="110"/>
      <c r="C6" s="110"/>
      <c r="D6" s="110"/>
      <c r="E6" s="110"/>
      <c r="F6" s="253"/>
      <c r="H6" s="190" t="s">
        <v>375</v>
      </c>
    </row>
    <row r="7" spans="1:9" ht="15.75" thickBot="1">
      <c r="A7" s="97" t="s">
        <v>343</v>
      </c>
      <c r="B7" s="96"/>
      <c r="C7" s="96"/>
      <c r="D7" s="96"/>
      <c r="E7" s="96"/>
      <c r="F7" s="252">
        <f>+F4-F5</f>
        <v>1784800039</v>
      </c>
      <c r="H7" s="152">
        <f>+'OPEB Amounts_Report'!C326</f>
        <v>1784800039</v>
      </c>
      <c r="I7" s="329">
        <f>+F7-H7</f>
        <v>0</v>
      </c>
    </row>
    <row r="8" spans="1:9" ht="15.75" thickTop="1">
      <c r="A8" s="96"/>
      <c r="B8" s="96"/>
      <c r="C8" s="96"/>
      <c r="D8" s="96"/>
      <c r="E8" s="96"/>
      <c r="F8" s="96"/>
    </row>
    <row r="9" spans="1:9">
      <c r="A9" s="97" t="s">
        <v>344</v>
      </c>
      <c r="B9" s="96"/>
      <c r="C9" s="96"/>
      <c r="D9" s="96"/>
      <c r="E9" s="96"/>
      <c r="F9" s="96"/>
    </row>
    <row r="10" spans="1:9">
      <c r="A10" s="97" t="s">
        <v>475</v>
      </c>
      <c r="B10" s="96"/>
      <c r="C10" s="96"/>
      <c r="D10" s="96"/>
      <c r="E10" s="96"/>
      <c r="F10" s="99">
        <f>F5/F4</f>
        <v>0.46987715248004513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11"/>
  <sheetViews>
    <sheetView workbookViewId="0">
      <selection activeCell="D567" sqref="D567"/>
    </sheetView>
  </sheetViews>
  <sheetFormatPr defaultRowHeight="15"/>
  <cols>
    <col min="1" max="1" width="25.42578125" customWidth="1"/>
    <col min="2" max="2" width="2.5703125" customWidth="1"/>
    <col min="3" max="3" width="13" hidden="1" customWidth="1"/>
    <col min="4" max="4" width="2.5703125" hidden="1" customWidth="1"/>
    <col min="5" max="6" width="13" customWidth="1"/>
  </cols>
  <sheetData>
    <row r="1" spans="1:5">
      <c r="A1" s="100"/>
      <c r="B1" s="100"/>
      <c r="C1" s="111" t="s">
        <v>365</v>
      </c>
      <c r="D1" s="110"/>
      <c r="E1" s="102" t="s">
        <v>353</v>
      </c>
    </row>
    <row r="2" spans="1:5">
      <c r="A2" s="105" t="s">
        <v>345</v>
      </c>
      <c r="B2" s="100"/>
      <c r="C2" s="109" t="s">
        <v>366</v>
      </c>
      <c r="D2" s="110"/>
      <c r="E2" s="105" t="s">
        <v>346</v>
      </c>
    </row>
    <row r="3" spans="1:5">
      <c r="A3" s="101" t="s">
        <v>347</v>
      </c>
      <c r="B3" s="100"/>
      <c r="C3" s="308">
        <v>0.2</v>
      </c>
      <c r="D3" s="110"/>
      <c r="E3" s="309">
        <v>1.61E-2</v>
      </c>
    </row>
    <row r="4" spans="1:5">
      <c r="A4" s="101" t="s">
        <v>348</v>
      </c>
      <c r="B4" s="100"/>
      <c r="C4" s="308">
        <v>0.2</v>
      </c>
      <c r="D4" s="110"/>
      <c r="E4" s="309">
        <v>6.9099999999999995E-2</v>
      </c>
    </row>
    <row r="5" spans="1:5">
      <c r="A5" s="101" t="s">
        <v>513</v>
      </c>
      <c r="B5" s="100"/>
      <c r="C5" s="308">
        <v>0.15</v>
      </c>
      <c r="D5" s="110"/>
      <c r="E5" s="309">
        <v>8.7099999999999997E-2</v>
      </c>
    </row>
    <row r="6" spans="1:5">
      <c r="A6" s="101" t="s">
        <v>514</v>
      </c>
      <c r="B6" s="100"/>
      <c r="C6" s="308">
        <v>0.12</v>
      </c>
      <c r="D6" s="110"/>
      <c r="E6" s="309">
        <v>7.2099999999999997E-2</v>
      </c>
    </row>
    <row r="7" spans="1:5">
      <c r="A7" s="101" t="s">
        <v>349</v>
      </c>
      <c r="B7" s="100"/>
      <c r="C7" s="308">
        <v>0.1</v>
      </c>
      <c r="D7" s="110"/>
      <c r="E7" s="309">
        <v>9.9000000000000005E-2</v>
      </c>
    </row>
    <row r="8" spans="1:5">
      <c r="A8" s="101" t="s">
        <v>350</v>
      </c>
      <c r="B8" s="100"/>
      <c r="C8" s="308">
        <v>0.1</v>
      </c>
      <c r="D8" s="110"/>
      <c r="E8" s="309">
        <v>3.7100000000000001E-2</v>
      </c>
    </row>
    <row r="9" spans="1:5">
      <c r="A9" s="101" t="s">
        <v>351</v>
      </c>
      <c r="B9" s="100"/>
      <c r="C9" s="308">
        <v>0.05</v>
      </c>
      <c r="D9" s="110"/>
      <c r="E9" s="309">
        <v>3.61E-2</v>
      </c>
    </row>
    <row r="10" spans="1:5">
      <c r="A10" s="101" t="s">
        <v>512</v>
      </c>
      <c r="B10" s="100"/>
      <c r="C10" s="308">
        <v>0.05</v>
      </c>
      <c r="D10" s="110"/>
      <c r="E10" s="309">
        <v>3.2099999999999997E-2</v>
      </c>
    </row>
    <row r="11" spans="1:5">
      <c r="A11" s="103" t="s">
        <v>352</v>
      </c>
      <c r="B11" s="104"/>
      <c r="C11" s="308">
        <v>0.03</v>
      </c>
      <c r="D11" s="104"/>
      <c r="E11" s="309">
        <v>6.9099999999999995E-2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F9"/>
  <sheetViews>
    <sheetView workbookViewId="0">
      <selection activeCell="D567" sqref="D567"/>
    </sheetView>
  </sheetViews>
  <sheetFormatPr defaultRowHeight="15"/>
  <cols>
    <col min="1" max="1" width="2.42578125" customWidth="1"/>
    <col min="2" max="2" width="15.5703125" customWidth="1"/>
    <col min="3" max="3" width="2.42578125" customWidth="1"/>
    <col min="4" max="4" width="15.5703125" customWidth="1"/>
    <col min="5" max="5" width="2.42578125" customWidth="1"/>
    <col min="6" max="6" width="15.5703125" customWidth="1"/>
  </cols>
  <sheetData>
    <row r="2" spans="2:6">
      <c r="B2" s="111" t="s">
        <v>354</v>
      </c>
      <c r="C2" s="110"/>
      <c r="D2" s="111" t="s">
        <v>355</v>
      </c>
      <c r="E2" s="110"/>
      <c r="F2" s="111" t="s">
        <v>356</v>
      </c>
    </row>
    <row r="3" spans="2:6">
      <c r="B3" s="283" t="s">
        <v>516</v>
      </c>
      <c r="C3" s="284"/>
      <c r="D3" s="283" t="s">
        <v>515</v>
      </c>
      <c r="E3" s="284"/>
      <c r="F3" s="283" t="s">
        <v>517</v>
      </c>
    </row>
    <row r="4" spans="2:6">
      <c r="B4" s="285">
        <v>2250750304</v>
      </c>
      <c r="C4" s="216"/>
      <c r="D4" s="285">
        <v>1784800039</v>
      </c>
      <c r="E4" s="216"/>
      <c r="F4" s="285">
        <v>1402840927</v>
      </c>
    </row>
    <row r="7" spans="2:6">
      <c r="B7" s="107"/>
      <c r="C7" s="106"/>
      <c r="D7" s="107" t="s">
        <v>357</v>
      </c>
      <c r="E7" s="106"/>
      <c r="F7" s="107"/>
    </row>
    <row r="8" spans="2:6">
      <c r="B8" s="109" t="s">
        <v>354</v>
      </c>
      <c r="C8" s="106"/>
      <c r="D8" s="108" t="s">
        <v>358</v>
      </c>
      <c r="E8" s="106"/>
      <c r="F8" s="109" t="s">
        <v>356</v>
      </c>
    </row>
    <row r="9" spans="2:6">
      <c r="B9" s="285">
        <v>1379274113</v>
      </c>
      <c r="C9" s="286"/>
      <c r="D9" s="285">
        <v>1784800039</v>
      </c>
      <c r="E9" s="286"/>
      <c r="F9" s="285">
        <v>2826241240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L25"/>
  <sheetViews>
    <sheetView workbookViewId="0">
      <selection activeCell="D567" sqref="D567"/>
    </sheetView>
  </sheetViews>
  <sheetFormatPr defaultColWidth="8.5703125" defaultRowHeight="12.75"/>
  <cols>
    <col min="1" max="4" width="2.42578125" style="34" customWidth="1"/>
    <col min="5" max="5" width="45.42578125" style="34" customWidth="1"/>
    <col min="6" max="6" width="18.7109375" style="327" customWidth="1"/>
    <col min="7" max="7" width="8.5703125" style="327" customWidth="1"/>
    <col min="8" max="8" width="16.5703125" style="34" bestFit="1" customWidth="1"/>
    <col min="9" max="9" width="10.42578125" style="34" bestFit="1" customWidth="1"/>
    <col min="10" max="10" width="14.5703125" style="34" customWidth="1"/>
    <col min="11" max="11" width="8.5703125" style="34"/>
    <col min="12" max="12" width="14.5703125" style="34" bestFit="1" customWidth="1"/>
    <col min="13" max="16384" width="8.5703125" style="34"/>
  </cols>
  <sheetData>
    <row r="1" spans="1:12" ht="13.5" customHeight="1">
      <c r="A1" s="34" t="s">
        <v>392</v>
      </c>
      <c r="F1" s="330">
        <v>76343178</v>
      </c>
      <c r="H1" s="330">
        <v>91535036</v>
      </c>
      <c r="J1" s="229">
        <v>155314732</v>
      </c>
      <c r="K1" s="305" t="s">
        <v>377</v>
      </c>
    </row>
    <row r="2" spans="1:12" ht="13.5" customHeight="1">
      <c r="A2" s="34" t="s">
        <v>304</v>
      </c>
      <c r="F2" s="333">
        <v>190978881</v>
      </c>
      <c r="H2" s="333">
        <v>190482868</v>
      </c>
      <c r="J2" s="229">
        <v>163469038</v>
      </c>
    </row>
    <row r="3" spans="1:12" s="327" customFormat="1" ht="13.5" customHeight="1">
      <c r="A3" s="327" t="s">
        <v>518</v>
      </c>
      <c r="F3" s="333">
        <v>-13121991</v>
      </c>
      <c r="H3" s="333"/>
      <c r="J3" s="229"/>
    </row>
    <row r="4" spans="1:12" ht="13.5" customHeight="1">
      <c r="A4" s="34" t="s">
        <v>302</v>
      </c>
      <c r="J4" s="229"/>
    </row>
    <row r="5" spans="1:12" ht="13.5" customHeight="1">
      <c r="B5" s="34" t="s">
        <v>307</v>
      </c>
      <c r="F5" s="333">
        <v>-5193564</v>
      </c>
      <c r="H5" s="333">
        <v>-30602697</v>
      </c>
      <c r="J5" s="229">
        <v>-6132812</v>
      </c>
    </row>
    <row r="6" spans="1:12" ht="13.5" customHeight="1">
      <c r="A6" s="34" t="s">
        <v>308</v>
      </c>
      <c r="F6" s="229"/>
      <c r="H6" s="70"/>
      <c r="J6" s="229"/>
    </row>
    <row r="7" spans="1:12" ht="13.5" customHeight="1">
      <c r="B7" s="34" t="s">
        <v>309</v>
      </c>
      <c r="F7" s="333">
        <v>34842583</v>
      </c>
      <c r="H7" s="333">
        <v>-73262389</v>
      </c>
      <c r="J7" s="229">
        <v>-191075679</v>
      </c>
    </row>
    <row r="8" spans="1:12" ht="13.5" customHeight="1">
      <c r="A8" s="34" t="s">
        <v>305</v>
      </c>
      <c r="F8" s="333">
        <v>-63680360</v>
      </c>
      <c r="H8" s="333">
        <v>-57271226</v>
      </c>
      <c r="J8" s="229">
        <v>-50810510</v>
      </c>
    </row>
    <row r="9" spans="1:12" ht="13.5" customHeight="1">
      <c r="A9" s="34" t="s">
        <v>306</v>
      </c>
      <c r="F9" s="333">
        <v>-98473034</v>
      </c>
      <c r="H9" s="333">
        <v>-85070997</v>
      </c>
      <c r="J9" s="229">
        <v>-81365852</v>
      </c>
    </row>
    <row r="10" spans="1:12" ht="13.5" customHeight="1">
      <c r="A10" s="34" t="s">
        <v>303</v>
      </c>
      <c r="F10" s="333"/>
      <c r="H10" s="176"/>
      <c r="J10" s="229"/>
    </row>
    <row r="11" spans="1:12" ht="13.5" customHeight="1">
      <c r="B11" s="34" t="s">
        <v>310</v>
      </c>
      <c r="F11" s="333">
        <v>-3341033</v>
      </c>
      <c r="H11" s="333">
        <v>2649758</v>
      </c>
      <c r="J11" s="229">
        <v>26181891</v>
      </c>
    </row>
    <row r="12" spans="1:12" ht="13.5" customHeight="1">
      <c r="A12" s="34" t="s">
        <v>394</v>
      </c>
      <c r="F12" s="333">
        <f>3518022-45453097</f>
        <v>-41935075</v>
      </c>
      <c r="H12" s="333">
        <f>3105864-40467236</f>
        <v>-37361372</v>
      </c>
      <c r="J12" s="229">
        <v>-33120238</v>
      </c>
    </row>
    <row r="13" spans="1:12" s="216" customFormat="1" ht="13.5" customHeight="1">
      <c r="A13" s="216" t="s">
        <v>436</v>
      </c>
      <c r="F13" s="333"/>
      <c r="G13" s="327"/>
      <c r="H13" s="176"/>
      <c r="J13" s="229"/>
    </row>
    <row r="14" spans="1:12" s="216" customFormat="1" ht="13.5" customHeight="1">
      <c r="B14" s="216" t="s">
        <v>393</v>
      </c>
      <c r="F14" s="333">
        <v>213264961</v>
      </c>
      <c r="G14" s="327"/>
      <c r="H14" s="333">
        <v>212234880</v>
      </c>
      <c r="J14" s="176">
        <v>186052988</v>
      </c>
    </row>
    <row r="15" spans="1:12" ht="13.5" customHeight="1">
      <c r="A15" s="34" t="s">
        <v>379</v>
      </c>
      <c r="F15" s="333"/>
      <c r="H15" s="176"/>
      <c r="J15" s="229"/>
    </row>
    <row r="16" spans="1:12" ht="13.5" customHeight="1">
      <c r="B16" s="34" t="s">
        <v>393</v>
      </c>
      <c r="F16" s="336">
        <v>-652992447</v>
      </c>
      <c r="H16" s="336">
        <f>-678060732-194672</f>
        <v>-678255404</v>
      </c>
      <c r="J16" s="336">
        <f>-654618985-194672</f>
        <v>-654813657</v>
      </c>
      <c r="L16" s="247"/>
    </row>
    <row r="17" spans="1:12" s="216" customFormat="1" ht="13.5" customHeight="1">
      <c r="F17" s="328"/>
      <c r="G17" s="327"/>
      <c r="H17" s="242"/>
    </row>
    <row r="18" spans="1:12" ht="13.5" customHeight="1" thickBot="1">
      <c r="A18" s="34" t="s">
        <v>391</v>
      </c>
      <c r="F18" s="246">
        <f>SUM(F1:F16)</f>
        <v>-363307901</v>
      </c>
      <c r="H18" s="246">
        <f>SUM(H1:H16)</f>
        <v>-464921543</v>
      </c>
      <c r="J18" s="246">
        <f>SUM(J1:J16)</f>
        <v>-486300099</v>
      </c>
      <c r="L18" s="230">
        <f>H18-J18</f>
        <v>21378556</v>
      </c>
    </row>
    <row r="19" spans="1:12" ht="13.5" customHeight="1" thickTop="1"/>
    <row r="20" spans="1:12" ht="13.5" customHeight="1"/>
    <row r="25" spans="1:12">
      <c r="F25" s="334">
        <f>+F18-'OPEB Amounts_Report'!Q326</f>
        <v>0</v>
      </c>
      <c r="H25" s="184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E64"/>
  <sheetViews>
    <sheetView topLeftCell="A18" zoomScaleNormal="100" workbookViewId="0">
      <selection activeCell="D567" sqref="D567"/>
    </sheetView>
  </sheetViews>
  <sheetFormatPr defaultColWidth="8.5703125" defaultRowHeight="12.75"/>
  <cols>
    <col min="1" max="1" width="2.5703125" style="34" customWidth="1"/>
    <col min="2" max="3" width="2.42578125" style="34" customWidth="1"/>
    <col min="4" max="4" width="26" style="34" customWidth="1"/>
    <col min="5" max="5" width="2.42578125" style="34" customWidth="1"/>
    <col min="6" max="6" width="7.5703125" style="34" bestFit="1" customWidth="1"/>
    <col min="7" max="7" width="1.42578125" style="216" customWidth="1"/>
    <col min="8" max="8" width="11.5703125" style="34" customWidth="1"/>
    <col min="9" max="9" width="1.42578125" style="34" customWidth="1"/>
    <col min="10" max="10" width="15.42578125" style="34" bestFit="1" customWidth="1"/>
    <col min="11" max="11" width="1.42578125" style="216" customWidth="1"/>
    <col min="12" max="12" width="15.42578125" style="34" bestFit="1" customWidth="1"/>
    <col min="13" max="13" width="1.42578125" style="215" customWidth="1"/>
    <col min="14" max="14" width="14.42578125" style="34" bestFit="1" customWidth="1"/>
    <col min="15" max="15" width="1.42578125" style="215" customWidth="1"/>
    <col min="16" max="16" width="16.42578125" style="34" customWidth="1"/>
    <col min="17" max="17" width="8.5703125" style="34"/>
    <col min="18" max="18" width="15" style="34" bestFit="1" customWidth="1"/>
    <col min="19" max="19" width="3" style="34" customWidth="1"/>
    <col min="20" max="20" width="13.5703125" style="34" bestFit="1" customWidth="1"/>
    <col min="21" max="22" width="8.5703125" style="34"/>
    <col min="23" max="23" width="4.42578125" style="34" customWidth="1"/>
    <col min="24" max="24" width="1.5703125" style="34" customWidth="1"/>
    <col min="25" max="25" width="17" style="34" bestFit="1" customWidth="1"/>
    <col min="26" max="26" width="15.42578125" style="34" bestFit="1" customWidth="1"/>
    <col min="27" max="27" width="17.5703125" style="34" customWidth="1"/>
    <col min="28" max="28" width="14.5703125" style="34" customWidth="1"/>
    <col min="29" max="29" width="19.42578125" style="34" customWidth="1"/>
    <col min="30" max="30" width="8.5703125" style="34"/>
    <col min="31" max="31" width="15" style="34" bestFit="1" customWidth="1"/>
    <col min="32" max="16384" width="8.5703125" style="34"/>
  </cols>
  <sheetData>
    <row r="1" spans="1:31" ht="14.1" customHeight="1">
      <c r="H1" s="75" t="s">
        <v>390</v>
      </c>
    </row>
    <row r="2" spans="1:31" ht="14.1" customHeight="1">
      <c r="A2" s="74"/>
      <c r="B2" s="74"/>
      <c r="C2" s="74"/>
      <c r="D2" s="74"/>
      <c r="E2" s="74"/>
      <c r="F2" s="75" t="s">
        <v>311</v>
      </c>
      <c r="G2" s="232"/>
      <c r="H2" s="75" t="s">
        <v>313</v>
      </c>
      <c r="I2" s="74"/>
      <c r="J2" s="76" t="s">
        <v>315</v>
      </c>
      <c r="K2" s="232"/>
      <c r="L2" s="77" t="s">
        <v>322</v>
      </c>
      <c r="M2" s="233"/>
      <c r="N2" s="74"/>
      <c r="O2" s="233"/>
      <c r="P2" s="75" t="s">
        <v>324</v>
      </c>
    </row>
    <row r="3" spans="1:31" ht="14.1" customHeight="1">
      <c r="A3" s="78" t="s">
        <v>367</v>
      </c>
      <c r="B3" s="78"/>
      <c r="C3" s="78"/>
      <c r="D3" s="78"/>
      <c r="E3" s="79"/>
      <c r="F3" s="80" t="s">
        <v>312</v>
      </c>
      <c r="G3" s="232"/>
      <c r="H3" s="80" t="s">
        <v>314</v>
      </c>
      <c r="I3" s="74"/>
      <c r="J3" s="81" t="s">
        <v>316</v>
      </c>
      <c r="K3" s="232"/>
      <c r="L3" s="80" t="s">
        <v>323</v>
      </c>
      <c r="M3" s="233"/>
      <c r="N3" s="80" t="s">
        <v>313</v>
      </c>
      <c r="O3" s="233"/>
      <c r="P3" s="80" t="s">
        <v>316</v>
      </c>
    </row>
    <row r="4" spans="1:31" ht="14.1" customHeight="1">
      <c r="A4" s="32"/>
      <c r="B4" s="32"/>
      <c r="C4" s="32"/>
      <c r="D4" s="32"/>
      <c r="E4" s="32"/>
      <c r="F4" s="72"/>
      <c r="H4" s="72"/>
      <c r="J4" s="73"/>
      <c r="Y4" s="331">
        <v>2025</v>
      </c>
      <c r="Z4" s="331">
        <v>2026</v>
      </c>
      <c r="AA4" s="331">
        <v>2027</v>
      </c>
      <c r="AB4" s="331">
        <v>2028</v>
      </c>
      <c r="AC4" s="331">
        <v>2029</v>
      </c>
      <c r="AD4" s="331"/>
      <c r="AE4" s="331" t="s">
        <v>375</v>
      </c>
    </row>
    <row r="5" spans="1:31" ht="14.1" customHeight="1">
      <c r="A5" s="216" t="s">
        <v>318</v>
      </c>
      <c r="B5" s="216"/>
      <c r="F5" s="332"/>
      <c r="G5" s="332"/>
      <c r="H5" s="332"/>
      <c r="I5" s="332"/>
      <c r="J5" s="332"/>
      <c r="K5" s="332"/>
      <c r="L5" s="332"/>
      <c r="M5" s="326"/>
      <c r="N5" s="332"/>
      <c r="O5" s="326"/>
      <c r="P5" s="332"/>
      <c r="Y5" s="332"/>
      <c r="Z5" s="332"/>
      <c r="AA5" s="332"/>
      <c r="AB5" s="332"/>
      <c r="AC5" s="332"/>
      <c r="AD5" s="332"/>
      <c r="AE5" s="332"/>
    </row>
    <row r="6" spans="1:31" ht="14.1" customHeight="1">
      <c r="A6" s="216"/>
      <c r="B6" s="216" t="s">
        <v>319</v>
      </c>
      <c r="F6" s="261">
        <v>2021</v>
      </c>
      <c r="G6" s="332"/>
      <c r="H6" s="261">
        <v>2.98</v>
      </c>
      <c r="I6" s="332"/>
      <c r="J6" s="337">
        <v>28788267</v>
      </c>
      <c r="K6" s="332"/>
      <c r="L6" s="337">
        <v>0</v>
      </c>
      <c r="M6" s="338"/>
      <c r="N6" s="337">
        <v>-9660492</v>
      </c>
      <c r="O6" s="338"/>
      <c r="P6" s="337">
        <f>SUM(J6:N6)</f>
        <v>19127775</v>
      </c>
      <c r="Y6" s="333">
        <f>N6</f>
        <v>-9660492</v>
      </c>
      <c r="Z6" s="325">
        <f>+Y6*0.98-1</f>
        <v>-9467283.1600000001</v>
      </c>
      <c r="AA6" s="333"/>
      <c r="AB6" s="333"/>
      <c r="AC6" s="332"/>
      <c r="AD6" s="332"/>
      <c r="AE6" s="324">
        <f>SUM(P6:AB6)</f>
        <v>-0.16000000014901161</v>
      </c>
    </row>
    <row r="7" spans="1:31" ht="14.1" customHeight="1">
      <c r="F7" s="332"/>
      <c r="G7" s="332"/>
      <c r="H7" s="332"/>
      <c r="I7" s="332"/>
      <c r="J7" s="332"/>
      <c r="K7" s="332"/>
      <c r="L7" s="332"/>
      <c r="M7" s="326"/>
      <c r="N7" s="332"/>
      <c r="O7" s="326"/>
      <c r="P7" s="332"/>
      <c r="Y7" s="332"/>
      <c r="Z7" s="332"/>
      <c r="AA7" s="332"/>
      <c r="AB7" s="332"/>
      <c r="AC7" s="332"/>
      <c r="AD7" s="332"/>
      <c r="AE7" s="332"/>
    </row>
    <row r="8" spans="1:31" s="216" customFormat="1" ht="14.1" customHeight="1">
      <c r="A8" s="216" t="s">
        <v>441</v>
      </c>
      <c r="F8" s="261"/>
      <c r="G8" s="332"/>
      <c r="H8" s="261"/>
      <c r="I8" s="332"/>
      <c r="J8" s="339"/>
      <c r="K8" s="340"/>
      <c r="L8" s="339"/>
      <c r="M8" s="262"/>
      <c r="N8" s="339"/>
      <c r="O8" s="262"/>
      <c r="P8" s="339"/>
      <c r="Y8" s="333"/>
      <c r="Z8" s="325"/>
      <c r="AA8" s="325"/>
      <c r="AB8" s="325"/>
      <c r="AC8" s="333"/>
      <c r="AD8" s="332"/>
      <c r="AE8" s="324"/>
    </row>
    <row r="9" spans="1:31" s="216" customFormat="1" ht="14.1" customHeight="1">
      <c r="A9" s="34"/>
      <c r="B9" s="34" t="s">
        <v>320</v>
      </c>
      <c r="C9" s="34"/>
      <c r="D9" s="34"/>
      <c r="E9" s="34"/>
      <c r="F9" s="261">
        <v>2020</v>
      </c>
      <c r="G9" s="326"/>
      <c r="H9" s="341">
        <v>1</v>
      </c>
      <c r="I9" s="326"/>
      <c r="J9" s="262">
        <v>9255607</v>
      </c>
      <c r="K9" s="264"/>
      <c r="L9" s="262">
        <v>0</v>
      </c>
      <c r="M9" s="262"/>
      <c r="N9" s="262">
        <f>-J9</f>
        <v>-9255607</v>
      </c>
      <c r="O9" s="262"/>
      <c r="P9" s="262">
        <f>SUM(J9:N9)</f>
        <v>0</v>
      </c>
      <c r="Y9" s="333">
        <v>0</v>
      </c>
      <c r="Z9" s="325"/>
      <c r="AA9" s="325"/>
      <c r="AB9" s="325"/>
      <c r="AC9" s="333"/>
      <c r="AD9" s="332"/>
      <c r="AE9" s="324">
        <f>SUM(Q9:AC9)</f>
        <v>0</v>
      </c>
    </row>
    <row r="10" spans="1:31" s="216" customFormat="1" ht="14.1" customHeight="1">
      <c r="D10" s="172"/>
      <c r="E10" s="172"/>
      <c r="F10" s="261">
        <v>2021</v>
      </c>
      <c r="G10" s="326"/>
      <c r="H10" s="341">
        <v>2</v>
      </c>
      <c r="I10" s="326"/>
      <c r="J10" s="262">
        <v>-61989084</v>
      </c>
      <c r="K10" s="264"/>
      <c r="L10" s="262">
        <v>0</v>
      </c>
      <c r="M10" s="262"/>
      <c r="N10" s="262">
        <v>30994543</v>
      </c>
      <c r="O10" s="262"/>
      <c r="P10" s="262">
        <f>SUM(J10:N10)</f>
        <v>-30994541</v>
      </c>
      <c r="Y10" s="333">
        <f>-P10</f>
        <v>30994541</v>
      </c>
      <c r="Z10" s="325"/>
      <c r="AA10" s="325"/>
      <c r="AB10" s="325"/>
      <c r="AC10" s="333"/>
      <c r="AD10" s="332"/>
      <c r="AE10" s="324">
        <f>SUM(P10:AC10)</f>
        <v>0</v>
      </c>
    </row>
    <row r="11" spans="1:31" s="216" customFormat="1" ht="14.1" customHeight="1">
      <c r="C11" s="34"/>
      <c r="F11" s="261">
        <v>2022</v>
      </c>
      <c r="G11" s="332"/>
      <c r="H11" s="341">
        <v>3</v>
      </c>
      <c r="I11" s="332"/>
      <c r="J11" s="262">
        <v>78545680</v>
      </c>
      <c r="K11" s="332"/>
      <c r="L11" s="339">
        <v>0</v>
      </c>
      <c r="M11" s="326"/>
      <c r="N11" s="262">
        <v>-26181892</v>
      </c>
      <c r="O11" s="326"/>
      <c r="P11" s="262">
        <f>SUM(J11:N11)</f>
        <v>52363788</v>
      </c>
      <c r="Y11" s="333">
        <f>N11-2</f>
        <v>-26181894</v>
      </c>
      <c r="Z11" s="325">
        <f>+Y11</f>
        <v>-26181894</v>
      </c>
      <c r="AA11" s="325"/>
      <c r="AB11" s="325"/>
      <c r="AC11" s="333"/>
      <c r="AD11" s="332"/>
      <c r="AE11" s="324">
        <f>SUM(P11:AC11)</f>
        <v>0</v>
      </c>
    </row>
    <row r="12" spans="1:31" s="216" customFormat="1" ht="14.1" customHeight="1">
      <c r="F12" s="261">
        <v>2023</v>
      </c>
      <c r="G12" s="332"/>
      <c r="H12" s="341">
        <v>4</v>
      </c>
      <c r="I12" s="332"/>
      <c r="J12" s="262">
        <v>10599039</v>
      </c>
      <c r="K12" s="332"/>
      <c r="L12" s="339">
        <v>0</v>
      </c>
      <c r="M12" s="326"/>
      <c r="N12" s="262">
        <v>-2649759</v>
      </c>
      <c r="O12" s="326"/>
      <c r="P12" s="262">
        <f>SUM(J12:N12)</f>
        <v>7949280</v>
      </c>
      <c r="Y12" s="333">
        <f>+N12-1</f>
        <v>-2649760</v>
      </c>
      <c r="Z12" s="325">
        <f>+Y12</f>
        <v>-2649760</v>
      </c>
      <c r="AA12" s="325">
        <f>+Z12</f>
        <v>-2649760</v>
      </c>
      <c r="AB12" s="325"/>
      <c r="AC12" s="332"/>
      <c r="AD12" s="332"/>
      <c r="AE12" s="324">
        <f>SUM(P12:AC12)</f>
        <v>0</v>
      </c>
    </row>
    <row r="13" spans="1:31" s="216" customFormat="1" ht="14.1" customHeight="1">
      <c r="F13" s="261">
        <v>2024</v>
      </c>
      <c r="H13" s="341">
        <v>5</v>
      </c>
      <c r="J13" s="339">
        <v>0</v>
      </c>
      <c r="L13" s="339">
        <f>-13364140-3341037</f>
        <v>-16705177</v>
      </c>
      <c r="M13" s="326"/>
      <c r="N13" s="262">
        <v>3341035</v>
      </c>
      <c r="O13" s="326"/>
      <c r="P13" s="262">
        <f>SUM(J13:N13)</f>
        <v>-13364142</v>
      </c>
      <c r="R13" s="184">
        <f>+'OPEB Amounts_Report'!E326</f>
        <v>15954385</v>
      </c>
      <c r="S13" s="327"/>
      <c r="T13" s="184">
        <f>+SUM(P9:P13)-R13</f>
        <v>0</v>
      </c>
      <c r="Y13" s="333">
        <f>+N13</f>
        <v>3341035</v>
      </c>
      <c r="Z13" s="325">
        <f>+Y13</f>
        <v>3341035</v>
      </c>
      <c r="AA13" s="325">
        <f>+Y13+1</f>
        <v>3341036</v>
      </c>
      <c r="AB13" s="325">
        <f>+Y13+1</f>
        <v>3341036</v>
      </c>
      <c r="AC13" s="332"/>
      <c r="AD13" s="332"/>
      <c r="AE13" s="324">
        <f>SUM(Y13:AC13)+P13</f>
        <v>0</v>
      </c>
    </row>
    <row r="14" spans="1:31" s="216" customFormat="1" ht="14.1" customHeight="1"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</row>
    <row r="15" spans="1:31" s="327" customFormat="1" ht="14.1" customHeight="1">
      <c r="A15" s="327" t="s">
        <v>317</v>
      </c>
      <c r="F15" s="261">
        <v>2020</v>
      </c>
      <c r="G15" s="332"/>
      <c r="H15" s="261">
        <v>1.98</v>
      </c>
      <c r="I15" s="332"/>
      <c r="J15" s="328">
        <v>327724074</v>
      </c>
      <c r="K15" s="326"/>
      <c r="L15" s="262">
        <v>0</v>
      </c>
      <c r="M15" s="262"/>
      <c r="N15" s="328">
        <v>-165517209</v>
      </c>
      <c r="O15" s="262"/>
      <c r="P15" s="328">
        <f>SUM(J15:N15)</f>
        <v>162206865</v>
      </c>
      <c r="Y15" s="229">
        <f>+N15*0.98</f>
        <v>-162206864.81999999</v>
      </c>
      <c r="Z15" s="247"/>
      <c r="AE15" s="230">
        <f>SUM(P15:AC15)</f>
        <v>0.18000000715255737</v>
      </c>
    </row>
    <row r="16" spans="1:31" ht="14.1" customHeight="1">
      <c r="F16" s="261">
        <v>2024</v>
      </c>
      <c r="G16" s="332"/>
      <c r="H16" s="261">
        <v>5.93</v>
      </c>
      <c r="I16" s="332"/>
      <c r="J16" s="342">
        <v>0</v>
      </c>
      <c r="K16" s="332"/>
      <c r="L16" s="342">
        <v>206616516</v>
      </c>
      <c r="M16" s="262"/>
      <c r="N16" s="336">
        <v>-34842583</v>
      </c>
      <c r="O16" s="262"/>
      <c r="P16" s="336">
        <f>SUM(J16:N16)</f>
        <v>171773933</v>
      </c>
      <c r="Y16" s="173">
        <f>N16</f>
        <v>-34842583</v>
      </c>
      <c r="Z16" s="178">
        <f>N16</f>
        <v>-34842583</v>
      </c>
      <c r="AA16" s="178">
        <f>N16</f>
        <v>-34842583</v>
      </c>
      <c r="AB16" s="173">
        <f>N16+1</f>
        <v>-34842582</v>
      </c>
      <c r="AC16" s="247">
        <f>N16*0.93</f>
        <v>-32403602.190000001</v>
      </c>
      <c r="AE16" s="230">
        <f>SUM(P16:AC16)</f>
        <v>-0.19000000134110451</v>
      </c>
    </row>
    <row r="17" spans="1:31" ht="14.1" customHeight="1">
      <c r="F17" s="332"/>
      <c r="G17" s="332"/>
      <c r="H17" s="332"/>
      <c r="I17" s="332"/>
      <c r="J17" s="328"/>
      <c r="K17" s="332"/>
      <c r="L17" s="326"/>
      <c r="M17" s="326"/>
      <c r="N17" s="326"/>
      <c r="O17" s="326"/>
      <c r="P17" s="326"/>
    </row>
    <row r="18" spans="1:31" ht="14.1" customHeight="1" thickBot="1">
      <c r="A18" s="34" t="s">
        <v>416</v>
      </c>
      <c r="F18" s="332"/>
      <c r="G18" s="332"/>
      <c r="H18" s="332"/>
      <c r="I18" s="332"/>
      <c r="J18" s="343">
        <f>SUM(J3:J17)</f>
        <v>392923583</v>
      </c>
      <c r="K18" s="332"/>
      <c r="L18" s="343">
        <f>SUM(L3:L17)</f>
        <v>189911339</v>
      </c>
      <c r="M18" s="163"/>
      <c r="N18" s="343">
        <f>SUM(N3:N17)</f>
        <v>-213771964</v>
      </c>
      <c r="O18" s="163"/>
      <c r="P18" s="343">
        <f>SUM(P3:P17)</f>
        <v>369062958</v>
      </c>
      <c r="Q18" s="146"/>
      <c r="R18" s="184">
        <f>SUM('OPEB Amounts_Report'!D326:F326)-P18</f>
        <v>0</v>
      </c>
      <c r="Y18" s="178">
        <f>SUM(Y6:Y16)</f>
        <v>-201206017.81999999</v>
      </c>
      <c r="Z18" s="247">
        <f>SUM(Z6:Z16)</f>
        <v>-69800485.159999996</v>
      </c>
      <c r="AA18" s="247">
        <f>SUM(AA6:AA16)</f>
        <v>-34151307</v>
      </c>
      <c r="AB18" s="247">
        <f>SUM(AB6:AB16)</f>
        <v>-31501546</v>
      </c>
      <c r="AC18" s="247">
        <f>SUM(AC6:AC16)</f>
        <v>-32403602.190000001</v>
      </c>
    </row>
    <row r="19" spans="1:31" ht="13.5" thickTop="1">
      <c r="F19" s="332"/>
      <c r="G19" s="332"/>
      <c r="H19" s="332"/>
      <c r="I19" s="332"/>
      <c r="J19" s="332"/>
      <c r="K19" s="332"/>
      <c r="L19" s="332"/>
      <c r="M19" s="326"/>
      <c r="N19" s="332"/>
      <c r="O19" s="326"/>
      <c r="P19" s="332"/>
    </row>
    <row r="20" spans="1:31">
      <c r="F20" s="332"/>
      <c r="G20" s="332"/>
      <c r="H20" s="332"/>
      <c r="I20" s="332"/>
      <c r="J20" s="332"/>
      <c r="K20" s="332"/>
      <c r="L20" s="332"/>
      <c r="M20" s="326"/>
      <c r="N20" s="332"/>
      <c r="O20" s="326"/>
      <c r="P20" s="332"/>
    </row>
    <row r="21" spans="1:31" s="216" customFormat="1">
      <c r="F21" s="332"/>
      <c r="G21" s="332"/>
      <c r="H21" s="332"/>
      <c r="I21" s="332"/>
      <c r="J21" s="332"/>
      <c r="K21" s="332"/>
      <c r="L21" s="332"/>
      <c r="M21" s="326"/>
      <c r="N21" s="332"/>
      <c r="O21" s="326"/>
      <c r="P21" s="332"/>
    </row>
    <row r="22" spans="1:31" s="216" customFormat="1" ht="14.1" customHeight="1">
      <c r="F22" s="332"/>
      <c r="G22" s="332"/>
      <c r="H22" s="344" t="s">
        <v>390</v>
      </c>
      <c r="I22" s="332"/>
      <c r="J22" s="332"/>
      <c r="K22" s="332"/>
      <c r="L22" s="332"/>
      <c r="M22" s="326"/>
      <c r="N22" s="332"/>
      <c r="O22" s="326"/>
      <c r="P22" s="332"/>
    </row>
    <row r="23" spans="1:31" s="216" customFormat="1" ht="14.1" customHeight="1">
      <c r="A23" s="232"/>
      <c r="B23" s="232"/>
      <c r="C23" s="232"/>
      <c r="D23" s="232"/>
      <c r="E23" s="232"/>
      <c r="F23" s="344" t="s">
        <v>311</v>
      </c>
      <c r="G23" s="331"/>
      <c r="H23" s="344" t="s">
        <v>313</v>
      </c>
      <c r="I23" s="331"/>
      <c r="J23" s="345" t="s">
        <v>315</v>
      </c>
      <c r="K23" s="331"/>
      <c r="L23" s="258" t="s">
        <v>322</v>
      </c>
      <c r="M23" s="258"/>
      <c r="N23" s="331"/>
      <c r="O23" s="258"/>
      <c r="P23" s="344" t="s">
        <v>324</v>
      </c>
    </row>
    <row r="24" spans="1:31" s="216" customFormat="1" ht="14.1" customHeight="1">
      <c r="A24" s="234" t="s">
        <v>295</v>
      </c>
      <c r="B24" s="234"/>
      <c r="C24" s="234"/>
      <c r="D24" s="234"/>
      <c r="E24" s="235"/>
      <c r="F24" s="346" t="s">
        <v>312</v>
      </c>
      <c r="G24" s="331"/>
      <c r="H24" s="346" t="s">
        <v>314</v>
      </c>
      <c r="I24" s="331"/>
      <c r="J24" s="347" t="s">
        <v>316</v>
      </c>
      <c r="K24" s="331"/>
      <c r="L24" s="346" t="s">
        <v>323</v>
      </c>
      <c r="M24" s="258"/>
      <c r="N24" s="346" t="s">
        <v>313</v>
      </c>
      <c r="O24" s="258"/>
      <c r="P24" s="346" t="s">
        <v>316</v>
      </c>
    </row>
    <row r="25" spans="1:31" s="216" customFormat="1" ht="14.1" customHeight="1">
      <c r="A25" s="215"/>
      <c r="B25" s="215"/>
      <c r="C25" s="215"/>
      <c r="D25" s="215"/>
      <c r="E25" s="215"/>
      <c r="F25" s="348"/>
      <c r="G25" s="332"/>
      <c r="H25" s="348"/>
      <c r="I25" s="332"/>
      <c r="J25" s="349"/>
      <c r="K25" s="332"/>
      <c r="L25" s="332"/>
      <c r="M25" s="326"/>
      <c r="N25" s="332"/>
      <c r="O25" s="326"/>
      <c r="P25" s="332"/>
      <c r="Y25" s="331">
        <v>2025</v>
      </c>
      <c r="Z25" s="331">
        <v>2026</v>
      </c>
      <c r="AA25" s="331">
        <v>2027</v>
      </c>
      <c r="AB25" s="331">
        <v>2028</v>
      </c>
      <c r="AC25" s="331">
        <v>2029</v>
      </c>
      <c r="AE25" s="331"/>
    </row>
    <row r="26" spans="1:31" s="216" customFormat="1" ht="14.1" customHeight="1">
      <c r="A26" s="216" t="s">
        <v>318</v>
      </c>
      <c r="F26" s="332"/>
      <c r="G26" s="332"/>
      <c r="H26" s="332"/>
      <c r="I26" s="332"/>
      <c r="J26" s="332"/>
      <c r="K26" s="332"/>
      <c r="L26" s="332"/>
      <c r="M26" s="326"/>
      <c r="N26" s="332"/>
      <c r="O26" s="326"/>
      <c r="P26" s="332"/>
    </row>
    <row r="27" spans="1:31" s="216" customFormat="1" ht="14.1" customHeight="1">
      <c r="B27" s="216" t="s">
        <v>319</v>
      </c>
      <c r="F27" s="261">
        <v>2019</v>
      </c>
      <c r="G27" s="332"/>
      <c r="H27" s="261">
        <f>1.64-1</f>
        <v>0.6399999999999999</v>
      </c>
      <c r="I27" s="332"/>
      <c r="J27" s="337">
        <v>85582684</v>
      </c>
      <c r="K27" s="332"/>
      <c r="L27" s="337">
        <v>0</v>
      </c>
      <c r="M27" s="338"/>
      <c r="N27" s="337">
        <f>-J27</f>
        <v>-85582684</v>
      </c>
      <c r="O27" s="338"/>
      <c r="P27" s="337">
        <f>SUM(J27:N27)</f>
        <v>0</v>
      </c>
      <c r="Y27" s="229">
        <v>0</v>
      </c>
      <c r="Z27" s="247"/>
      <c r="AA27" s="247"/>
      <c r="AE27" s="230">
        <f>SUM(Q27:AC27)</f>
        <v>0</v>
      </c>
    </row>
    <row r="28" spans="1:31" s="216" customFormat="1" ht="14.1" customHeight="1">
      <c r="F28" s="261">
        <v>2020</v>
      </c>
      <c r="G28" s="332"/>
      <c r="H28" s="261">
        <v>1.98</v>
      </c>
      <c r="I28" s="332"/>
      <c r="J28" s="339">
        <v>49842763</v>
      </c>
      <c r="K28" s="340"/>
      <c r="L28" s="339">
        <v>0</v>
      </c>
      <c r="M28" s="262"/>
      <c r="N28" s="339">
        <v>-25173113</v>
      </c>
      <c r="O28" s="262"/>
      <c r="P28" s="339">
        <f>SUM(J28:N28)</f>
        <v>24669650</v>
      </c>
      <c r="T28" s="247"/>
      <c r="Y28" s="229">
        <f>+N28*0.98+1</f>
        <v>-24669649.739999998</v>
      </c>
      <c r="Z28" s="247"/>
      <c r="AA28" s="247"/>
      <c r="AB28" s="229"/>
      <c r="AE28" s="230">
        <f>SUM(P28:AB28)</f>
        <v>0.26000000163912773</v>
      </c>
    </row>
    <row r="29" spans="1:31" s="216" customFormat="1" ht="14.1" customHeight="1">
      <c r="F29" s="261">
        <v>2022</v>
      </c>
      <c r="G29" s="332"/>
      <c r="H29" s="261">
        <f>4.89-1</f>
        <v>3.8899999999999997</v>
      </c>
      <c r="I29" s="332"/>
      <c r="J29" s="339">
        <v>23856637</v>
      </c>
      <c r="K29" s="340"/>
      <c r="L29" s="339">
        <v>0</v>
      </c>
      <c r="M29" s="262"/>
      <c r="N29" s="339">
        <v>-6132812</v>
      </c>
      <c r="O29" s="262"/>
      <c r="P29" s="339">
        <f>SUM(J29:N29)</f>
        <v>17723825</v>
      </c>
      <c r="Y29" s="229">
        <f>+N29</f>
        <v>-6132812</v>
      </c>
      <c r="Z29" s="247">
        <f>+N29-1</f>
        <v>-6132813</v>
      </c>
      <c r="AA29" s="247">
        <f>+N29*0.89</f>
        <v>-5458202.6799999997</v>
      </c>
      <c r="AB29" s="247"/>
      <c r="AC29" s="229"/>
      <c r="AE29" s="230">
        <f>SUM(P29:AC29)</f>
        <v>-2.6799999997019768</v>
      </c>
    </row>
    <row r="30" spans="1:31" s="216" customFormat="1" ht="14.1" customHeight="1">
      <c r="F30" s="261">
        <v>2023</v>
      </c>
      <c r="G30" s="332"/>
      <c r="H30" s="348">
        <v>4.87</v>
      </c>
      <c r="I30" s="332"/>
      <c r="J30" s="339">
        <v>149035133</v>
      </c>
      <c r="K30" s="340"/>
      <c r="L30" s="339">
        <v>0</v>
      </c>
      <c r="M30" s="262"/>
      <c r="N30" s="339">
        <v>-30602697</v>
      </c>
      <c r="O30" s="262"/>
      <c r="P30" s="339">
        <f>SUM(J30:N30)</f>
        <v>118432436</v>
      </c>
      <c r="Y30" s="229">
        <f>+N30</f>
        <v>-30602697</v>
      </c>
      <c r="Z30" s="247">
        <f>+N30</f>
        <v>-30602697</v>
      </c>
      <c r="AA30" s="247">
        <f>+N30</f>
        <v>-30602697</v>
      </c>
      <c r="AB30" s="247">
        <f>+N30*0.87+3</f>
        <v>-26624343.390000001</v>
      </c>
      <c r="AC30" s="247"/>
      <c r="AE30" s="230">
        <f>SUM(P30:AC30)</f>
        <v>1.6099999994039536</v>
      </c>
    </row>
    <row r="31" spans="1:31" s="216" customFormat="1" ht="14.1" customHeight="1">
      <c r="F31" s="261">
        <v>2024</v>
      </c>
      <c r="H31" s="348">
        <v>5.93</v>
      </c>
      <c r="J31" s="262">
        <v>0</v>
      </c>
      <c r="L31" s="339">
        <v>30797839</v>
      </c>
      <c r="N31" s="339">
        <v>-5193564</v>
      </c>
      <c r="P31" s="339">
        <f>SUM(J31:N31)</f>
        <v>25604275</v>
      </c>
      <c r="Y31" s="229">
        <f>+N31</f>
        <v>-5193564</v>
      </c>
      <c r="Z31" s="247">
        <f>+N31</f>
        <v>-5193564</v>
      </c>
      <c r="AA31" s="247">
        <f>+N31</f>
        <v>-5193564</v>
      </c>
      <c r="AB31" s="247">
        <f>+N31</f>
        <v>-5193564</v>
      </c>
      <c r="AC31" s="247">
        <f>+N31*0.93-4</f>
        <v>-4830018.5200000005</v>
      </c>
      <c r="AE31" s="230">
        <f>SUM(P31:AC31)</f>
        <v>0.47999999951571226</v>
      </c>
    </row>
    <row r="32" spans="1:31" s="216" customFormat="1" ht="14.1" customHeight="1"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R32" s="334">
        <f>+'OPEB Amounts_Report'!J326</f>
        <v>186430186</v>
      </c>
      <c r="T32" s="230">
        <f>SUM(P27:P31)</f>
        <v>186430186</v>
      </c>
    </row>
    <row r="33" spans="1:31" s="216" customFormat="1" ht="14.1" customHeight="1">
      <c r="A33" s="216" t="s">
        <v>317</v>
      </c>
      <c r="F33" s="261">
        <v>2019</v>
      </c>
      <c r="G33" s="332"/>
      <c r="H33" s="261">
        <f>1.64-1</f>
        <v>0.6399999999999999</v>
      </c>
      <c r="I33" s="332"/>
      <c r="J33" s="262">
        <v>60761045</v>
      </c>
      <c r="K33" s="264"/>
      <c r="L33" s="262">
        <v>0</v>
      </c>
      <c r="M33" s="262"/>
      <c r="N33" s="262">
        <f>-J33</f>
        <v>-60761045</v>
      </c>
      <c r="O33" s="262"/>
      <c r="P33" s="262">
        <f>SUM(J33:N33)</f>
        <v>0</v>
      </c>
      <c r="Y33" s="229">
        <v>0</v>
      </c>
      <c r="Z33" s="247"/>
      <c r="AB33" s="229"/>
      <c r="AE33" s="230">
        <f>SUM(Q33:AC33)</f>
        <v>0</v>
      </c>
    </row>
    <row r="34" spans="1:31" s="216" customFormat="1" ht="14.1" customHeight="1">
      <c r="F34" s="261">
        <v>2021</v>
      </c>
      <c r="G34" s="332"/>
      <c r="H34" s="261">
        <f>3.98-1</f>
        <v>2.98</v>
      </c>
      <c r="I34" s="332"/>
      <c r="J34" s="262">
        <v>445605582</v>
      </c>
      <c r="K34" s="264"/>
      <c r="L34" s="262">
        <v>0</v>
      </c>
      <c r="M34" s="262"/>
      <c r="N34" s="262">
        <v>-149532075</v>
      </c>
      <c r="O34" s="262"/>
      <c r="P34" s="262">
        <f>SUM(J34:N34)</f>
        <v>296073507</v>
      </c>
      <c r="Y34" s="229">
        <f>+N34</f>
        <v>-149532075</v>
      </c>
      <c r="Z34" s="247">
        <f>+N34*0.98+1.5</f>
        <v>-146541432</v>
      </c>
      <c r="AA34" s="247"/>
      <c r="AB34" s="247"/>
      <c r="AC34" s="229"/>
      <c r="AE34" s="230">
        <f>SUM(P34:AC34)</f>
        <v>0</v>
      </c>
    </row>
    <row r="35" spans="1:31" s="216" customFormat="1" ht="14.1" customHeight="1">
      <c r="F35" s="261">
        <v>2022</v>
      </c>
      <c r="G35" s="332"/>
      <c r="H35" s="261">
        <f>4.89-1</f>
        <v>3.8899999999999997</v>
      </c>
      <c r="I35" s="332"/>
      <c r="J35" s="262">
        <v>743284393</v>
      </c>
      <c r="K35" s="340"/>
      <c r="L35" s="262">
        <v>0</v>
      </c>
      <c r="M35" s="262"/>
      <c r="N35" s="262">
        <v>-191075679</v>
      </c>
      <c r="O35" s="262"/>
      <c r="P35" s="262">
        <f>SUM(J35:N35)</f>
        <v>552208714</v>
      </c>
      <c r="Q35" s="215"/>
      <c r="R35" s="215"/>
      <c r="S35" s="215"/>
      <c r="T35" s="215"/>
      <c r="U35" s="215"/>
      <c r="V35" s="215"/>
      <c r="W35" s="215"/>
      <c r="X35" s="215"/>
      <c r="Y35" s="229">
        <f>+N35</f>
        <v>-191075679</v>
      </c>
      <c r="Z35" s="247">
        <f>+N35</f>
        <v>-191075679</v>
      </c>
      <c r="AA35" s="247">
        <f>+N35*0.89-1</f>
        <v>-170057355.31</v>
      </c>
      <c r="AB35" s="247"/>
      <c r="AC35" s="247"/>
      <c r="AE35" s="230">
        <f>SUM(P35:AC35)</f>
        <v>0.68999999761581421</v>
      </c>
    </row>
    <row r="36" spans="1:31" s="216" customFormat="1" ht="14.1" customHeight="1">
      <c r="F36" s="348">
        <v>2023</v>
      </c>
      <c r="G36" s="326"/>
      <c r="H36" s="348">
        <v>4.87</v>
      </c>
      <c r="I36" s="326"/>
      <c r="J36" s="342">
        <v>356787833</v>
      </c>
      <c r="K36" s="264"/>
      <c r="L36" s="342">
        <v>0</v>
      </c>
      <c r="M36" s="262"/>
      <c r="N36" s="342">
        <v>-73262389</v>
      </c>
      <c r="O36" s="262"/>
      <c r="P36" s="342">
        <f>SUM(J36:N36)</f>
        <v>283525444</v>
      </c>
      <c r="Y36" s="229">
        <f>-73262389-1</f>
        <v>-73262390</v>
      </c>
      <c r="Z36" s="247">
        <f>+N36</f>
        <v>-73262389</v>
      </c>
      <c r="AA36" s="247">
        <f>+N36+1</f>
        <v>-73262388</v>
      </c>
      <c r="AB36" s="247">
        <f>+(Y36*0.87)+2</f>
        <v>-63738277.299999997</v>
      </c>
      <c r="AC36" s="247"/>
      <c r="AE36" s="230">
        <f>SUM(P36:AC36)</f>
        <v>-0.29999999701976776</v>
      </c>
    </row>
    <row r="37" spans="1:31" ht="14.1" customHeight="1">
      <c r="A37" s="216"/>
      <c r="B37" s="216"/>
      <c r="C37" s="216"/>
      <c r="D37" s="216"/>
      <c r="E37" s="216"/>
      <c r="F37" s="231"/>
      <c r="H37" s="216"/>
      <c r="I37" s="216"/>
      <c r="J37" s="328"/>
      <c r="L37" s="215"/>
      <c r="N37" s="215"/>
      <c r="P37" s="215"/>
      <c r="S37" s="171"/>
      <c r="T37" s="171"/>
      <c r="U37" s="171"/>
      <c r="V37" s="171"/>
      <c r="W37" s="171"/>
      <c r="X37" s="171"/>
      <c r="Y37" s="216"/>
      <c r="Z37" s="216"/>
      <c r="AA37" s="216"/>
      <c r="AB37" s="216"/>
      <c r="AC37" s="216"/>
    </row>
    <row r="38" spans="1:31" ht="14.1" customHeight="1" thickBot="1">
      <c r="A38" s="216" t="s">
        <v>321</v>
      </c>
      <c r="B38" s="216"/>
      <c r="C38" s="216"/>
      <c r="D38" s="216"/>
      <c r="E38" s="216"/>
      <c r="F38" s="216"/>
      <c r="H38" s="216"/>
      <c r="I38" s="216"/>
      <c r="J38" s="343">
        <f>SUM(J27:J37)</f>
        <v>1914756070</v>
      </c>
      <c r="L38" s="246">
        <f>SUM(L27:L37)</f>
        <v>30797839</v>
      </c>
      <c r="M38" s="169"/>
      <c r="N38" s="246">
        <f>SUM(N27:N37)</f>
        <v>-627316058</v>
      </c>
      <c r="O38" s="169"/>
      <c r="P38" s="246">
        <f>SUM(P27:P37)</f>
        <v>1318237851</v>
      </c>
      <c r="R38" s="184">
        <f>SUM('OPEB Amounts_Report'!J326:K326)-P38</f>
        <v>0</v>
      </c>
      <c r="S38" s="171"/>
      <c r="T38" s="171"/>
      <c r="U38" s="171"/>
      <c r="V38" s="171"/>
      <c r="W38" s="171"/>
      <c r="X38" s="171"/>
      <c r="Y38" s="247">
        <f>SUM(Y27:Y36)</f>
        <v>-480468866.74000001</v>
      </c>
      <c r="Z38" s="247">
        <f>SUM(Z27:Z36)</f>
        <v>-452808574</v>
      </c>
      <c r="AA38" s="247">
        <f>SUM(AA27:AA36)</f>
        <v>-284574206.99000001</v>
      </c>
      <c r="AB38" s="247">
        <f>SUM(AB27:AB36)</f>
        <v>-95556184.689999998</v>
      </c>
      <c r="AC38" s="247">
        <f>SUM(AC27:AC36)</f>
        <v>-4830018.5200000005</v>
      </c>
    </row>
    <row r="39" spans="1:31" ht="13.5" thickTop="1">
      <c r="A39" s="216"/>
      <c r="B39" s="216"/>
      <c r="C39" s="216"/>
      <c r="D39" s="216"/>
      <c r="E39" s="216"/>
      <c r="F39" s="216"/>
      <c r="H39" s="216"/>
      <c r="I39" s="216"/>
      <c r="J39" s="216"/>
      <c r="L39" s="216"/>
      <c r="N39" s="216"/>
      <c r="P39" s="216"/>
      <c r="S39" s="171"/>
      <c r="T39" s="171"/>
      <c r="U39" s="171"/>
      <c r="V39" s="171"/>
      <c r="W39" s="171"/>
      <c r="X39" s="171"/>
      <c r="Y39" s="171"/>
      <c r="Z39" s="171"/>
    </row>
    <row r="40" spans="1:31" s="216" customFormat="1">
      <c r="M40" s="215"/>
      <c r="O40" s="215"/>
      <c r="S40" s="215"/>
      <c r="T40" s="215"/>
      <c r="U40" s="215"/>
      <c r="V40" s="215"/>
      <c r="W40" s="215"/>
      <c r="X40" s="186" t="s">
        <v>375</v>
      </c>
      <c r="Y40" s="185">
        <f>+Y38-Y18</f>
        <v>-279262848.92000002</v>
      </c>
      <c r="Z40" s="185">
        <f>+Z38-Z18</f>
        <v>-383008088.84000003</v>
      </c>
      <c r="AA40" s="185">
        <f>+AA38-AA18</f>
        <v>-250422899.99000001</v>
      </c>
      <c r="AB40" s="185">
        <f>+AB38-AB18</f>
        <v>-64054638.689999998</v>
      </c>
      <c r="AC40" s="185">
        <f>+AC38-AC18</f>
        <v>27573583.670000002</v>
      </c>
    </row>
    <row r="41" spans="1:31" s="216" customFormat="1">
      <c r="M41" s="215"/>
      <c r="O41" s="215"/>
      <c r="S41" s="215"/>
      <c r="T41" s="215"/>
      <c r="U41" s="215"/>
      <c r="V41" s="215"/>
      <c r="W41" s="215"/>
      <c r="X41" s="215"/>
      <c r="Y41" s="215"/>
      <c r="Z41" s="215"/>
    </row>
    <row r="42" spans="1:31" s="216" customFormat="1">
      <c r="M42" s="215"/>
      <c r="O42" s="215"/>
      <c r="S42" s="215"/>
      <c r="T42" s="215"/>
      <c r="U42" s="215"/>
      <c r="V42" s="215"/>
      <c r="W42" s="215"/>
      <c r="X42" s="215"/>
      <c r="Y42" s="333"/>
      <c r="Z42" s="333"/>
      <c r="AA42" s="333"/>
      <c r="AB42" s="333"/>
      <c r="AC42" s="333"/>
    </row>
    <row r="43" spans="1:31" s="216" customFormat="1">
      <c r="M43" s="215"/>
      <c r="O43" s="215"/>
      <c r="S43" s="215"/>
      <c r="T43" s="215"/>
      <c r="U43" s="215"/>
      <c r="V43" s="215"/>
      <c r="W43" s="215"/>
      <c r="X43" s="215"/>
      <c r="Y43" s="326"/>
      <c r="Z43" s="326"/>
      <c r="AA43" s="332"/>
      <c r="AB43" s="332"/>
      <c r="AC43" s="332"/>
    </row>
    <row r="44" spans="1:31">
      <c r="F44" s="216"/>
      <c r="N44" s="237">
        <v>2025</v>
      </c>
      <c r="P44" s="249">
        <f>+'Amortization Tables_Report'!C326</f>
        <v>-279262849</v>
      </c>
      <c r="S44" s="171"/>
      <c r="T44" s="187"/>
      <c r="U44" s="171"/>
      <c r="V44" s="171"/>
      <c r="W44" s="171"/>
      <c r="X44" s="171"/>
      <c r="Y44" s="335"/>
      <c r="Z44" s="335"/>
      <c r="AA44" s="335"/>
      <c r="AB44" s="335"/>
      <c r="AC44" s="335"/>
    </row>
    <row r="45" spans="1:31">
      <c r="N45" s="237">
        <v>2026</v>
      </c>
      <c r="P45" s="229">
        <f>+'Amortization Tables_Report'!D326</f>
        <v>-383008089</v>
      </c>
      <c r="S45" s="171"/>
      <c r="T45" s="187"/>
      <c r="U45" s="171"/>
      <c r="V45" s="171"/>
      <c r="W45" s="171"/>
      <c r="X45" s="171"/>
      <c r="Y45" s="326"/>
      <c r="Z45" s="326"/>
      <c r="AA45" s="332"/>
      <c r="AB45" s="332"/>
      <c r="AC45" s="332"/>
    </row>
    <row r="46" spans="1:31">
      <c r="N46" s="237">
        <v>2027</v>
      </c>
      <c r="P46" s="229">
        <f>+'Amortization Tables_Report'!E326</f>
        <v>-250422900</v>
      </c>
      <c r="S46" s="171"/>
      <c r="T46" s="187"/>
      <c r="U46" s="171"/>
      <c r="V46" s="171"/>
      <c r="W46" s="171"/>
      <c r="X46" s="171"/>
      <c r="Y46" s="328"/>
      <c r="Z46" s="328"/>
      <c r="AA46" s="332"/>
      <c r="AB46" s="332"/>
      <c r="AC46" s="332"/>
    </row>
    <row r="47" spans="1:31" s="216" customFormat="1">
      <c r="F47" s="34"/>
      <c r="M47" s="215"/>
      <c r="N47" s="237">
        <v>2028</v>
      </c>
      <c r="O47" s="215"/>
      <c r="P47" s="229">
        <f>+'Amortization Tables_Report'!F326</f>
        <v>-64054639</v>
      </c>
      <c r="S47" s="215"/>
      <c r="T47" s="187"/>
      <c r="U47" s="215"/>
      <c r="V47" s="215"/>
      <c r="W47" s="215"/>
      <c r="X47" s="215"/>
      <c r="Y47" s="328" t="s">
        <v>437</v>
      </c>
      <c r="Z47" s="328"/>
      <c r="AA47" s="332"/>
      <c r="AB47" s="332"/>
      <c r="AC47" s="332"/>
    </row>
    <row r="48" spans="1:31">
      <c r="F48" s="216"/>
      <c r="N48" s="237">
        <v>2029</v>
      </c>
      <c r="P48" s="236">
        <f>+'Amortization Tables_Report'!G326</f>
        <v>27573584</v>
      </c>
      <c r="S48" s="171"/>
      <c r="T48" s="187"/>
      <c r="U48" s="171"/>
      <c r="V48" s="171"/>
      <c r="W48" s="171"/>
      <c r="X48" s="171"/>
      <c r="Y48" s="328">
        <f>+'Amortization Tables_Report'!C326</f>
        <v>-279262849</v>
      </c>
      <c r="Z48" s="328">
        <f>+'Amortization Tables_Report'!D326</f>
        <v>-383008089</v>
      </c>
      <c r="AA48" s="328">
        <f>+'Amortization Tables_Report'!E326</f>
        <v>-250422900</v>
      </c>
      <c r="AB48" s="328">
        <f>+'Amortization Tables_Report'!F326</f>
        <v>-64054639</v>
      </c>
      <c r="AC48" s="328">
        <f>+'Amortization Tables_Report'!G326</f>
        <v>27573584</v>
      </c>
    </row>
    <row r="49" spans="14:29" ht="13.5" customHeight="1">
      <c r="P49" s="32"/>
      <c r="S49" s="171"/>
      <c r="T49" s="171"/>
      <c r="U49" s="171"/>
      <c r="V49" s="171"/>
      <c r="W49" s="171"/>
      <c r="X49" s="171"/>
      <c r="Y49" s="328">
        <f>+Y40-Y48</f>
        <v>7.9999983310699463E-2</v>
      </c>
      <c r="Z49" s="328">
        <f t="shared" ref="Z49:AC49" si="0">+Z40-Z48</f>
        <v>0.15999996662139893</v>
      </c>
      <c r="AA49" s="328">
        <f t="shared" si="0"/>
        <v>9.9999904632568359E-3</v>
      </c>
      <c r="AB49" s="328">
        <f t="shared" si="0"/>
        <v>0.31000000238418579</v>
      </c>
      <c r="AC49" s="328">
        <f t="shared" si="0"/>
        <v>-0.32999999821186066</v>
      </c>
    </row>
    <row r="50" spans="14:29" ht="13.5" thickBot="1">
      <c r="N50" s="32"/>
      <c r="P50" s="157">
        <f>SUM(P44:P48)</f>
        <v>-949174893</v>
      </c>
      <c r="S50" s="171"/>
      <c r="T50" s="171"/>
      <c r="U50" s="171"/>
      <c r="V50" s="171"/>
      <c r="W50" s="171"/>
      <c r="X50" s="171"/>
      <c r="Y50" s="177"/>
      <c r="Z50" s="177"/>
    </row>
    <row r="51" spans="14:29" ht="13.5" thickTop="1">
      <c r="Q51" s="146"/>
      <c r="S51" s="171"/>
      <c r="T51" s="171"/>
      <c r="U51" s="171"/>
      <c r="V51" s="171"/>
      <c r="W51" s="171"/>
      <c r="X51" s="171"/>
      <c r="Y51" s="177"/>
      <c r="Z51" s="177"/>
    </row>
    <row r="52" spans="14:29">
      <c r="S52" s="171"/>
      <c r="T52" s="171"/>
      <c r="U52" s="171"/>
      <c r="V52" s="171"/>
      <c r="W52" s="171"/>
      <c r="X52" s="171"/>
      <c r="Y52" s="171"/>
      <c r="Z52" s="177"/>
    </row>
    <row r="53" spans="14:29">
      <c r="S53" s="171"/>
      <c r="T53" s="171"/>
      <c r="U53" s="171"/>
      <c r="V53" s="171"/>
      <c r="W53" s="171"/>
      <c r="X53" s="171"/>
      <c r="Y53" s="177"/>
      <c r="Z53" s="177"/>
    </row>
    <row r="54" spans="14:29">
      <c r="P54" s="230">
        <f>+P38-P18+P50</f>
        <v>0</v>
      </c>
      <c r="S54" s="171"/>
      <c r="T54" s="171"/>
      <c r="U54" s="171"/>
      <c r="V54" s="171"/>
      <c r="W54" s="171"/>
      <c r="X54" s="171"/>
      <c r="Y54" s="169"/>
      <c r="Z54" s="169"/>
    </row>
    <row r="55" spans="14:29">
      <c r="N55" s="168"/>
      <c r="P55" s="168"/>
      <c r="R55" s="293"/>
      <c r="S55" s="171"/>
      <c r="T55" s="171"/>
      <c r="U55" s="171"/>
      <c r="V55" s="171"/>
      <c r="W55" s="171"/>
      <c r="X55" s="171"/>
      <c r="Y55" s="171"/>
      <c r="Z55" s="171"/>
    </row>
    <row r="56" spans="14:29">
      <c r="N56" s="167"/>
      <c r="P56" s="168"/>
      <c r="R56" s="293"/>
      <c r="S56" s="171"/>
      <c r="T56" s="171"/>
      <c r="U56" s="171"/>
      <c r="V56" s="171"/>
      <c r="W56" s="171"/>
      <c r="X56" s="171"/>
      <c r="Y56" s="171"/>
      <c r="Z56" s="171"/>
    </row>
    <row r="57" spans="14:29">
      <c r="N57" s="168"/>
      <c r="P57" s="168"/>
      <c r="S57" s="171"/>
      <c r="T57" s="171"/>
      <c r="U57" s="171"/>
      <c r="V57" s="171"/>
      <c r="W57" s="171"/>
      <c r="X57" s="171"/>
      <c r="Y57" s="171"/>
      <c r="Z57" s="171"/>
    </row>
    <row r="58" spans="14:29" ht="4.3499999999999996" customHeight="1">
      <c r="N58" s="166"/>
      <c r="P58" s="165"/>
    </row>
    <row r="59" spans="14:29">
      <c r="N59" s="166"/>
      <c r="P59" s="176"/>
    </row>
    <row r="60" spans="14:29">
      <c r="N60" s="166"/>
      <c r="P60" s="176"/>
      <c r="R60" s="184"/>
    </row>
    <row r="61" spans="14:29">
      <c r="N61" s="164"/>
      <c r="P61" s="176"/>
      <c r="R61" s="263"/>
    </row>
    <row r="62" spans="14:29">
      <c r="N62" s="164"/>
      <c r="P62" s="174"/>
      <c r="R62" s="184"/>
    </row>
    <row r="63" spans="14:29">
      <c r="N63" s="170"/>
      <c r="P63" s="163"/>
    </row>
    <row r="64" spans="14:29">
      <c r="N64" s="170"/>
      <c r="P64" s="168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Employer Template</vt:lpstr>
      <vt:lpstr>Contribution Allocation_Report</vt:lpstr>
      <vt:lpstr>OPEB Amounts_Report</vt:lpstr>
      <vt:lpstr>PY_OPEB Amounts_Report</vt:lpstr>
      <vt:lpstr>Amortization Tables_Report</vt:lpstr>
      <vt:lpstr>Discount Rate Sensitivity</vt:lpstr>
      <vt:lpstr>Trend Rate Sensitivity</vt:lpstr>
      <vt:lpstr>Change in Proportion Layers</vt:lpstr>
      <vt:lpstr>Change in Proportion Calc</vt:lpstr>
      <vt:lpstr>Contribution Allocation_Rep 23</vt:lpstr>
      <vt:lpstr>Membership</vt:lpstr>
      <vt:lpstr>Note 3a</vt:lpstr>
      <vt:lpstr>Notes 3b</vt:lpstr>
      <vt:lpstr>Notes 3c</vt:lpstr>
      <vt:lpstr>Note 3d</vt:lpstr>
      <vt:lpstr>Note 5</vt:lpstr>
      <vt:lpstr>Note 5a</vt:lpstr>
      <vt:lpstr>'Amortization Tables_Report'!Print_Area</vt:lpstr>
      <vt:lpstr>'Change in Proportion Calc'!Print_Area</vt:lpstr>
      <vt:lpstr>'Change in Proportion Layers'!Print_Area</vt:lpstr>
      <vt:lpstr>'Contribution Allocation_Rep 23'!Print_Area</vt:lpstr>
      <vt:lpstr>'Contribution Allocation_Report'!Print_Area</vt:lpstr>
      <vt:lpstr>'Discount Rate Sensitivity'!Print_Area</vt:lpstr>
      <vt:lpstr>'OPEB Amounts_Report'!Print_Area</vt:lpstr>
      <vt:lpstr>'PY_OPEB Amounts_Report'!Print_Area</vt:lpstr>
      <vt:lpstr>'Trend Rate Sensitivity'!Print_Area</vt:lpstr>
      <vt:lpstr>'Amortization Tables_Report'!Print_Titles</vt:lpstr>
      <vt:lpstr>'Contribution Allocation_Rep 23'!Print_Titles</vt:lpstr>
      <vt:lpstr>'Contribution Allocation_Report'!Print_Titles</vt:lpstr>
      <vt:lpstr>'Discount Rate Sensitivity'!Print_Titles</vt:lpstr>
      <vt:lpstr>'OPEB Amounts_Report'!Print_Titles</vt:lpstr>
      <vt:lpstr>'PY_OPEB Amounts_Report'!Print_Titles</vt:lpstr>
      <vt:lpstr>'Trend Rate Sensitivity'!Print_Titles</vt:lpstr>
    </vt:vector>
  </TitlesOfParts>
  <Company>The Segal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Kirby, Mary</dc:creator>
  <cp:lastModifiedBy>Aaron Hamilton</cp:lastModifiedBy>
  <cp:lastPrinted>2025-04-29T02:50:30Z</cp:lastPrinted>
  <dcterms:created xsi:type="dcterms:W3CDTF">2018-04-03T19:34:07Z</dcterms:created>
  <dcterms:modified xsi:type="dcterms:W3CDTF">2025-05-12T19:09:28Z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User Guide (Non Attest)</vt:lpwstr>
  </property>
  <property fmtid="{D5CDD505-2E9C-101B-9397-08002B2CF9AE}" pid="4" name="tabIndex">
    <vt:lpwstr>A-105</vt:lpwstr>
  </property>
  <property fmtid="{D5CDD505-2E9C-101B-9397-08002B2CF9AE}" pid="5" name="workpaperIndex">
    <vt:lpwstr>A-105</vt:lpwstr>
  </property>
</Properties>
</file>